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90" windowHeight="4725" activeTab="0"/>
  </bookViews>
  <sheets>
    <sheet name="提要" sheetId="1" r:id="rId1"/>
    <sheet name="6-1收" sheetId="2" r:id="rId2"/>
    <sheet name="6-1-支" sheetId="3" r:id="rId3"/>
    <sheet name="6-2預算歲入" sheetId="4" r:id="rId4"/>
    <sheet name="6-2決算歲入" sheetId="5" r:id="rId5"/>
    <sheet name="6-3預算歲出" sheetId="6" r:id="rId6"/>
    <sheet name="6-3預算歲出續" sheetId="7" r:id="rId7"/>
    <sheet name="6-3決算歲出" sheetId="8" r:id="rId8"/>
    <sheet name="6-3決算歲出續" sheetId="9" r:id="rId9"/>
    <sheet name="6-4金融" sheetId="10" r:id="rId10"/>
  </sheets>
  <definedNames>
    <definedName name="_xlnm.Print_Area" localSheetId="2">'6-1-支'!$A$1:$AH$32</definedName>
    <definedName name="_xlnm.Print_Area" localSheetId="1">'6-1收'!$A$1:$Q$31</definedName>
    <definedName name="_xlnm.Print_Area" localSheetId="4">'6-2決算歲入'!$A$1:$M$19</definedName>
    <definedName name="_xlnm.Print_Area" localSheetId="3">'6-2預算歲入'!$A$1:$M$30</definedName>
    <definedName name="_xlnm.Print_Area" localSheetId="7">'6-3決算歲出'!$A$1:$O$19</definedName>
    <definedName name="_xlnm.Print_Area" localSheetId="8">'6-3決算歲出續'!$A$1:$N$19</definedName>
    <definedName name="_xlnm.Print_Area" localSheetId="6">'6-3預算歲出續'!$A$1:$O$29</definedName>
    <definedName name="_xlnm.Print_Area" localSheetId="9">'6-4金融'!$A$1:$P$21</definedName>
    <definedName name="_xlnm.Print_Area" localSheetId="0">'提要'!$A$1:$E$48</definedName>
  </definedNames>
  <calcPr fullCalcOnLoad="1"/>
</workbook>
</file>

<file path=xl/sharedStrings.xml><?xml version="1.0" encoding="utf-8"?>
<sst xmlns="http://schemas.openxmlformats.org/spreadsheetml/2006/main" count="686" uniqueCount="420">
  <si>
    <t>單位：新臺幣千元</t>
  </si>
  <si>
    <t>總　　計</t>
  </si>
  <si>
    <t>稅課收入</t>
  </si>
  <si>
    <t>罰款及賠償收入</t>
  </si>
  <si>
    <t>規費收入</t>
  </si>
  <si>
    <t>財產收入</t>
  </si>
  <si>
    <t>其他收入</t>
  </si>
  <si>
    <t>工程受益費收入</t>
  </si>
  <si>
    <t>行政支出</t>
  </si>
  <si>
    <t>民政支出</t>
  </si>
  <si>
    <t>財務支出</t>
  </si>
  <si>
    <t>教育支出</t>
  </si>
  <si>
    <t>科學支出</t>
  </si>
  <si>
    <t>文化支出</t>
  </si>
  <si>
    <t>農業支出</t>
  </si>
  <si>
    <t>工業支出</t>
  </si>
  <si>
    <t>交通支出</t>
  </si>
  <si>
    <t>警政支出</t>
  </si>
  <si>
    <t>協助支出</t>
  </si>
  <si>
    <t>第二預備金</t>
  </si>
  <si>
    <t>其他支出</t>
  </si>
  <si>
    <t>合計</t>
  </si>
  <si>
    <t xml:space="preserve"> </t>
  </si>
  <si>
    <t>總　計</t>
  </si>
  <si>
    <t xml:space="preserve"> </t>
  </si>
  <si>
    <t xml:space="preserve"> </t>
  </si>
  <si>
    <t>其他經濟
服務支出</t>
  </si>
  <si>
    <t>福利服務
支出</t>
  </si>
  <si>
    <t>退休撫卹
給付支出</t>
  </si>
  <si>
    <t>專案補助
支出</t>
  </si>
  <si>
    <t>資料來源：本鄉主計室。</t>
  </si>
  <si>
    <t>國民就業
支出</t>
  </si>
  <si>
    <t>醫療保健
支出</t>
  </si>
  <si>
    <t>社區發展
支出</t>
  </si>
  <si>
    <t>環境保護
支出</t>
  </si>
  <si>
    <t>行政支出</t>
  </si>
  <si>
    <t>民政支出</t>
  </si>
  <si>
    <t>財務支出</t>
  </si>
  <si>
    <t>教育支出</t>
  </si>
  <si>
    <t>文化支出</t>
  </si>
  <si>
    <t>農業支出</t>
  </si>
  <si>
    <t>工業支出</t>
  </si>
  <si>
    <t>交通支出</t>
  </si>
  <si>
    <t>警政支出</t>
  </si>
  <si>
    <t>其他支出</t>
  </si>
  <si>
    <t>教育科學文化支出</t>
  </si>
  <si>
    <t>經濟發展支出</t>
  </si>
  <si>
    <t>社區發展及環境保護支出</t>
  </si>
  <si>
    <t>退休撫卹支出</t>
  </si>
  <si>
    <t>其他支出</t>
  </si>
  <si>
    <t>房屋稅</t>
  </si>
  <si>
    <t>陸、 金融、財稅</t>
  </si>
  <si>
    <t>年度別及月別</t>
  </si>
  <si>
    <t>Fiscal Year &amp; Month</t>
  </si>
  <si>
    <t>Grand Total</t>
  </si>
  <si>
    <t>Current    Year    Expenditures</t>
  </si>
  <si>
    <t>年度別及
月別</t>
  </si>
  <si>
    <t>Expenditure
for Community
Development</t>
  </si>
  <si>
    <t>Expenditure
for Retirement
and Pension</t>
  </si>
  <si>
    <t>Previous Year
Expend-itures</t>
  </si>
  <si>
    <t>Treasury
Remain-der</t>
  </si>
  <si>
    <t>債務付息
支出</t>
  </si>
  <si>
    <t>退休撫
卹支出</t>
  </si>
  <si>
    <t>信託管理收入</t>
  </si>
  <si>
    <t>Fiscal Yea</t>
  </si>
  <si>
    <t>Others</t>
  </si>
  <si>
    <r>
      <t>1</t>
    </r>
    <r>
      <rPr>
        <sz val="12"/>
        <rFont val="標楷體"/>
        <family val="4"/>
      </rPr>
      <t>.收入</t>
    </r>
  </si>
  <si>
    <t>Unit:NT$1000</t>
  </si>
  <si>
    <t>Total</t>
  </si>
  <si>
    <t>年度別及月別</t>
  </si>
  <si>
    <r>
      <t>工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程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受
益費收入</t>
    </r>
  </si>
  <si>
    <r>
      <t>罰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款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及
賠償收入</t>
    </r>
  </si>
  <si>
    <t>信託管
理收入</t>
  </si>
  <si>
    <r>
      <t>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盈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餘
及事業收入</t>
    </r>
  </si>
  <si>
    <t>補助及
協助收入</t>
  </si>
  <si>
    <r>
      <t>捐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獻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及
贈與收入</t>
    </r>
  </si>
  <si>
    <t>其他收入</t>
  </si>
  <si>
    <t>賒借收入</t>
  </si>
  <si>
    <t>以前年
度收入</t>
  </si>
  <si>
    <r>
      <t>預算外
收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入</t>
    </r>
  </si>
  <si>
    <t>Fiscal Year &amp; Month</t>
  </si>
  <si>
    <t>Grand Total</t>
  </si>
  <si>
    <t>Total</t>
  </si>
  <si>
    <t>Receipts
from
Fees</t>
  </si>
  <si>
    <t>Assistance 
and 
Donation</t>
  </si>
  <si>
    <t>Others</t>
  </si>
  <si>
    <t>Previous
Year
Revenues</t>
  </si>
  <si>
    <t>Extrabudget
Recenues</t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</si>
  <si>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Jan.</t>
    </r>
  </si>
  <si>
    <r>
      <t>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Feb.</t>
    </r>
  </si>
  <si>
    <r>
      <t>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Mar.</t>
    </r>
  </si>
  <si>
    <r>
      <t>4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Apr.</t>
    </r>
  </si>
  <si>
    <r>
      <t>5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May.</t>
    </r>
  </si>
  <si>
    <r>
      <t>6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June.</t>
    </r>
  </si>
  <si>
    <r>
      <t>7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July.</t>
    </r>
  </si>
  <si>
    <r>
      <t>8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Aug.</t>
    </r>
  </si>
  <si>
    <r>
      <t>9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Sep.</t>
    </r>
  </si>
  <si>
    <r>
      <t>10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Oct.</t>
    </r>
  </si>
  <si>
    <r>
      <t>11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Nov.</t>
    </r>
  </si>
  <si>
    <r>
      <t>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Dec.</t>
    </r>
  </si>
  <si>
    <t>公庫結存</t>
  </si>
  <si>
    <t>債務支出</t>
  </si>
  <si>
    <t>以前年
度支出</t>
  </si>
  <si>
    <t>預算外支出</t>
  </si>
  <si>
    <t>政權行使支出</t>
  </si>
  <si>
    <t>科學支出</t>
  </si>
  <si>
    <t>社會保
險支出</t>
  </si>
  <si>
    <t>社會救
助支出</t>
  </si>
  <si>
    <t>福利服
務支出</t>
  </si>
  <si>
    <t>醫療保
健支出</t>
  </si>
  <si>
    <t>社區發
展支出</t>
  </si>
  <si>
    <t>環境保
護支出</t>
  </si>
  <si>
    <t>債務還
本支出</t>
  </si>
  <si>
    <t>債務付
息支出</t>
  </si>
  <si>
    <t>Expenditure
for Political
Function</t>
  </si>
  <si>
    <t>Administrative
Expenditure</t>
  </si>
  <si>
    <t>Civil Affairs
Expenditure</t>
  </si>
  <si>
    <t>Financial
Expenditure</t>
  </si>
  <si>
    <t>Expenditure
for Education</t>
  </si>
  <si>
    <t>Science
Expenditure</t>
  </si>
  <si>
    <t>Expenditure
for Culture</t>
  </si>
  <si>
    <t>Expenditure
for
Agricilture</t>
  </si>
  <si>
    <t>Expenditure
for Industry</t>
  </si>
  <si>
    <t>Other
Economic
Service</t>
  </si>
  <si>
    <t>Expenditure
for Social
Insurance</t>
  </si>
  <si>
    <t>Expenditure
for Social
Relief</t>
  </si>
  <si>
    <t>Expenditure
for Beneficial
Service</t>
  </si>
  <si>
    <t>Expenditure
for Public
Health</t>
  </si>
  <si>
    <t>Expenditure
for Debt</t>
  </si>
  <si>
    <t>Expenditure
for Interest</t>
  </si>
  <si>
    <t>Assistance</t>
  </si>
  <si>
    <t>Extra-budget
expenditure</t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</si>
  <si>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</si>
  <si>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</si>
  <si>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</si>
  <si>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r>
      <t>營業盈餘及
事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收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入</t>
    </r>
  </si>
  <si>
    <r>
      <t>補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助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及
協助收入</t>
    </r>
  </si>
  <si>
    <r>
      <t>捐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獻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及
贈與收入</t>
    </r>
  </si>
  <si>
    <t>Fiscal Yea</t>
  </si>
  <si>
    <t>Receipts
from Taxes</t>
  </si>
  <si>
    <t>Receipts
Charges on
Benefits of
Public</t>
  </si>
  <si>
    <t>Receipts
Fines and
Indemnity</t>
  </si>
  <si>
    <t>Receipts
from Trust
Management</t>
  </si>
  <si>
    <t>Receipts from</t>
  </si>
  <si>
    <r>
      <t>Profits of
Public
Business &amp;
Enterprises</t>
    </r>
    <r>
      <rPr>
        <sz val="9"/>
        <rFont val="標楷體"/>
        <family val="4"/>
      </rPr>
      <t>　</t>
    </r>
  </si>
  <si>
    <t>Receipts
from
Donations
and Gifits</t>
  </si>
  <si>
    <r>
      <t>原　預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算
</t>
    </r>
    <r>
      <rPr>
        <sz val="9"/>
        <rFont val="Times New Roman"/>
        <family val="1"/>
      </rPr>
      <t>Original</t>
    </r>
  </si>
  <si>
    <r>
      <t xml:space="preserve">追加減後預算
</t>
    </r>
    <r>
      <rPr>
        <sz val="9"/>
        <rFont val="Times New Roman"/>
        <family val="1"/>
      </rPr>
      <t>Final</t>
    </r>
  </si>
  <si>
    <t xml:space="preserve"> </t>
  </si>
  <si>
    <t>工程受益費收入</t>
  </si>
  <si>
    <t>罰款及賠償收入</t>
  </si>
  <si>
    <t>信託管理收入</t>
  </si>
  <si>
    <t>補助及
協助收入</t>
  </si>
  <si>
    <t>捐獻及
贈與收入</t>
  </si>
  <si>
    <t>移用以前年
度歲計賸餘</t>
  </si>
  <si>
    <t>Current Year Revent</t>
  </si>
  <si>
    <t>本　　年　　度　　收　　入</t>
  </si>
  <si>
    <r>
      <t>財產孳息
收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 xml:space="preserve">入
</t>
    </r>
    <r>
      <rPr>
        <sz val="9"/>
        <rFont val="Times New Roman"/>
        <family val="1"/>
      </rPr>
      <t>Interest from
Property</t>
    </r>
  </si>
  <si>
    <r>
      <t>財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產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價
及收回收入
</t>
    </r>
    <r>
      <rPr>
        <sz val="9"/>
        <rFont val="Times New Roman"/>
        <family val="1"/>
      </rPr>
      <t>Peceipts from
Property</t>
    </r>
  </si>
  <si>
    <t>Receipts
from Taxes</t>
  </si>
  <si>
    <t>Receipts
Fines and
Indemnity</t>
  </si>
  <si>
    <t>Receipts from
Charges on
Benefis of
Public
Construction</t>
  </si>
  <si>
    <t>Receipts
from Trust
Management</t>
  </si>
  <si>
    <r>
      <t>Receipts
from</t>
    </r>
    <r>
      <rPr>
        <sz val="9"/>
        <rFont val="Times New Roman"/>
        <family val="1"/>
      </rPr>
      <t xml:space="preserve">
Donations
and Gifts</t>
    </r>
  </si>
  <si>
    <r>
      <t>財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產</t>
    </r>
    <r>
      <rPr>
        <sz val="9"/>
        <rFont val="標楷體"/>
        <family val="4"/>
      </rPr>
      <t>收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入
</t>
    </r>
    <r>
      <rPr>
        <sz val="9"/>
        <rFont val="Times New Roman"/>
        <family val="1"/>
      </rPr>
      <t>Public Property</t>
    </r>
  </si>
  <si>
    <t>2.支出</t>
  </si>
  <si>
    <r>
      <t xml:space="preserve">教育科學文化支出
</t>
    </r>
    <r>
      <rPr>
        <sz val="9"/>
        <rFont val="Times New Roman"/>
        <family val="1"/>
      </rPr>
      <t>Education Science &amp; Culture</t>
    </r>
  </si>
  <si>
    <r>
      <t>經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發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展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出
</t>
    </r>
    <r>
      <rPr>
        <sz val="9"/>
        <rFont val="Times New Roman"/>
        <family val="1"/>
      </rPr>
      <t>Economic Development</t>
    </r>
  </si>
  <si>
    <r>
      <t>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Feb.</t>
    </r>
  </si>
  <si>
    <r>
      <t>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Mar.</t>
    </r>
  </si>
  <si>
    <r>
      <t>4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Apr.</t>
    </r>
  </si>
  <si>
    <r>
      <t>5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May.</t>
    </r>
  </si>
  <si>
    <r>
      <t>6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June.</t>
    </r>
  </si>
  <si>
    <r>
      <t>7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July.</t>
    </r>
  </si>
  <si>
    <r>
      <t>8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Aug.</t>
    </r>
  </si>
  <si>
    <r>
      <t>11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Nov.</t>
    </r>
  </si>
  <si>
    <r>
      <t>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Dec.</t>
    </r>
  </si>
  <si>
    <t>本　　年　　度　　支　　出</t>
  </si>
  <si>
    <t>2.支出</t>
  </si>
  <si>
    <t>Unit:NT$1000</t>
  </si>
  <si>
    <r>
      <t>2.</t>
    </r>
    <r>
      <rPr>
        <sz val="12"/>
        <rFont val="Times New Roman"/>
        <family val="1"/>
      </rPr>
      <t>Expenditures</t>
    </r>
  </si>
  <si>
    <r>
      <t>其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他
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</si>
  <si>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t>協助
支出</t>
  </si>
  <si>
    <t>本　　年　　度　　支　　出</t>
  </si>
  <si>
    <r>
      <t>　　　　　　　　　　　　</t>
    </r>
    <r>
      <rPr>
        <sz val="9"/>
        <rFont val="Times New Roman"/>
        <family val="1"/>
      </rPr>
      <t>Current    Year    Expenditures</t>
    </r>
  </si>
  <si>
    <r>
      <t>社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會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福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出
</t>
    </r>
    <r>
      <rPr>
        <sz val="9"/>
        <rFont val="Times New Roman"/>
        <family val="1"/>
      </rPr>
      <t>Social Welfare</t>
    </r>
  </si>
  <si>
    <t>社區發展及環境保護支出
Community &amp; Development
Environmental protection</t>
  </si>
  <si>
    <t>Expenditure
for Environ-
mental
protection</t>
  </si>
  <si>
    <r>
      <t>Profits of
Public
Business &amp;
Enterprises</t>
    </r>
    <r>
      <rPr>
        <sz val="9"/>
        <rFont val="標楷體"/>
        <family val="4"/>
      </rPr>
      <t>　</t>
    </r>
  </si>
  <si>
    <t>預    算</t>
  </si>
  <si>
    <t>資料來源：本鄉主計室。</t>
  </si>
  <si>
    <r>
      <t>營業盈餘及
事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業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收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入</t>
    </r>
  </si>
  <si>
    <t>決    算</t>
  </si>
  <si>
    <t xml:space="preserve">Budget     </t>
  </si>
  <si>
    <t>資料來源：本鄉主計室。</t>
  </si>
  <si>
    <r>
      <t>總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計</t>
    </r>
  </si>
  <si>
    <t>政權行使
支出</t>
  </si>
  <si>
    <t>其他經濟
服務支出</t>
  </si>
  <si>
    <t>社會保險
支出</t>
  </si>
  <si>
    <t>社會救助
支出</t>
  </si>
  <si>
    <t>Expenditure
for Political
Function</t>
  </si>
  <si>
    <t>Administrative
Expenditure</t>
  </si>
  <si>
    <t>Civil Affairs
Expenditure</t>
  </si>
  <si>
    <t>Financial
Expenditure</t>
  </si>
  <si>
    <t>Expenditure
for Education</t>
  </si>
  <si>
    <t>Science
Expenditure</t>
  </si>
  <si>
    <t>Expenditure
for Culture</t>
  </si>
  <si>
    <t>Expenditure
for
Agricilture</t>
  </si>
  <si>
    <t>Expenditure
for Industry</t>
  </si>
  <si>
    <t>Expenditure for
Communication</t>
  </si>
  <si>
    <t>Other
Economic
Service</t>
  </si>
  <si>
    <t>Expenditure
for Social
Insurance</t>
  </si>
  <si>
    <t>Expenditure
for Social
Relief</t>
  </si>
  <si>
    <t>福利服務
支出</t>
  </si>
  <si>
    <t>國民就業
支出</t>
  </si>
  <si>
    <t>醫療保健
支出</t>
  </si>
  <si>
    <t>社區發展
支出</t>
  </si>
  <si>
    <t>環境保護
支出</t>
  </si>
  <si>
    <t>退休撫卹
給付支出</t>
  </si>
  <si>
    <t>債務付息支出</t>
  </si>
  <si>
    <t>專案補助
支出</t>
  </si>
  <si>
    <t>平衡預算
補助支出</t>
  </si>
  <si>
    <t>Expenditure
for Beneficial
Service</t>
  </si>
  <si>
    <t>Expenditure
for Public
Health</t>
  </si>
  <si>
    <t>Expenditure
for
 Employment
Service</t>
  </si>
  <si>
    <t>Expenditure for
Envionmental
protection</t>
  </si>
  <si>
    <t>Expenditure for
Community
Development</t>
  </si>
  <si>
    <t>Expenditure
for Police
Service</t>
  </si>
  <si>
    <t>Second
Reserve
Fund</t>
  </si>
  <si>
    <t>Others
Expenditure</t>
  </si>
  <si>
    <t>Expenditure
for Interest
Payment</t>
  </si>
  <si>
    <t>Expenditure
for Transfers
of Special
Characters</t>
  </si>
  <si>
    <t>Expenditure
for Transfers
of General
Characters</t>
  </si>
  <si>
    <t>Expenditure
for
Assistance</t>
  </si>
  <si>
    <t>資料來源：本鄉主計室。</t>
  </si>
  <si>
    <t>行政支出</t>
  </si>
  <si>
    <t>民政支出</t>
  </si>
  <si>
    <t>財務支出</t>
  </si>
  <si>
    <t>教育支出</t>
  </si>
  <si>
    <t>文化支出</t>
  </si>
  <si>
    <t>農業支出</t>
  </si>
  <si>
    <t>工業支出</t>
  </si>
  <si>
    <t>交通支出</t>
  </si>
  <si>
    <t>社會保險支出</t>
  </si>
  <si>
    <t>社會救助支出</t>
  </si>
  <si>
    <t xml:space="preserve">Budget     </t>
  </si>
  <si>
    <t>決    算</t>
  </si>
  <si>
    <t>平衡預算
補助支出</t>
  </si>
  <si>
    <t>Expenditure
for Transfors
of General
Characters</t>
  </si>
  <si>
    <t>Expenditure
for
Envionmental
protection</t>
  </si>
  <si>
    <t>Expenditure
for
Employment
Service</t>
  </si>
  <si>
    <t>Expenditure
 for
Communication</t>
  </si>
  <si>
    <t>Expenditure
for
Industry</t>
  </si>
  <si>
    <t>Expenditure
for
Culture</t>
  </si>
  <si>
    <t>Expenditure
for
Science</t>
  </si>
  <si>
    <t>Expenditure
for
Education</t>
  </si>
  <si>
    <t>差</t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</si>
  <si>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Jan.</t>
    </r>
  </si>
  <si>
    <r>
      <t>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Feb.</t>
    </r>
  </si>
  <si>
    <r>
      <t>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Mar.</t>
    </r>
  </si>
  <si>
    <r>
      <t>4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Apr.</t>
    </r>
  </si>
  <si>
    <r>
      <t>5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May.</t>
    </r>
  </si>
  <si>
    <r>
      <t>6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June.</t>
    </r>
  </si>
  <si>
    <r>
      <t>7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July.</t>
    </r>
  </si>
  <si>
    <r>
      <t>8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Aug.</t>
    </r>
  </si>
  <si>
    <r>
      <t>9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Sep.</t>
    </r>
  </si>
  <si>
    <r>
      <t>10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Oct.</t>
    </r>
  </si>
  <si>
    <r>
      <t>11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Nov.</t>
    </r>
  </si>
  <si>
    <r>
      <t>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  Dec.</t>
    </r>
  </si>
  <si>
    <t>資料來源：本鄉財政課。</t>
  </si>
  <si>
    <r>
      <t>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般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務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  <r>
      <rPr>
        <sz val="9"/>
        <rFont val="Times New Roman"/>
        <family val="1"/>
      </rPr>
      <t xml:space="preserve">
General Administration</t>
    </r>
  </si>
  <si>
    <r>
      <t>原　預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算
</t>
    </r>
    <r>
      <rPr>
        <sz val="9"/>
        <rFont val="Times New Roman"/>
        <family val="1"/>
      </rPr>
      <t>Original</t>
    </r>
  </si>
  <si>
    <r>
      <t xml:space="preserve">追加減後預算
</t>
    </r>
    <r>
      <rPr>
        <sz val="9"/>
        <rFont val="Times New Roman"/>
        <family val="1"/>
      </rPr>
      <t>Final</t>
    </r>
  </si>
  <si>
    <t>Administrative
Expenditure</t>
  </si>
  <si>
    <t>單位：家</t>
  </si>
  <si>
    <t>Unit:Number</t>
  </si>
  <si>
    <t>年底別</t>
  </si>
  <si>
    <t>總    計</t>
  </si>
  <si>
    <t>本國銀行</t>
  </si>
  <si>
    <t>外國銀行      在華分行</t>
  </si>
  <si>
    <t>信託投資      公司</t>
  </si>
  <si>
    <t>信用合作社</t>
  </si>
  <si>
    <t>農會信用部</t>
  </si>
  <si>
    <t>漁會信用部</t>
  </si>
  <si>
    <t>票券金融      公司</t>
  </si>
  <si>
    <t>證券金融      公司</t>
  </si>
  <si>
    <t>本國壽險      公司</t>
  </si>
  <si>
    <t>本國產險       公司</t>
  </si>
  <si>
    <t>外國壽險      公司</t>
  </si>
  <si>
    <t>外國產險      公司</t>
  </si>
  <si>
    <t>再保險公司</t>
  </si>
  <si>
    <t>金融控股      公司</t>
  </si>
  <si>
    <t>86年底                         1997</t>
  </si>
  <si>
    <r>
      <t>87年底                         1998</t>
    </r>
  </si>
  <si>
    <t>98年度</t>
  </si>
  <si>
    <t>98年度
2009</t>
  </si>
  <si>
    <t>98年度
2009</t>
  </si>
  <si>
    <t>99年度</t>
  </si>
  <si>
    <t>99年度
2010</t>
  </si>
  <si>
    <t>99年度</t>
  </si>
  <si>
    <t>100年度</t>
  </si>
  <si>
    <t>2011</t>
  </si>
  <si>
    <t>100年度
2011</t>
  </si>
  <si>
    <t>年度</t>
  </si>
  <si>
    <t>公庫結存</t>
  </si>
  <si>
    <t>一、金融</t>
  </si>
  <si>
    <t>二、財稅</t>
  </si>
  <si>
    <t>(一)</t>
  </si>
  <si>
    <t>(二)</t>
  </si>
  <si>
    <t>總計</t>
  </si>
  <si>
    <t>二、稅收</t>
  </si>
  <si>
    <t>契稅</t>
  </si>
  <si>
    <t>娛樂稅</t>
  </si>
  <si>
    <t>遺產及贈與稅</t>
  </si>
  <si>
    <t>地價稅</t>
  </si>
  <si>
    <t>2012</t>
  </si>
  <si>
    <t>101年度</t>
  </si>
  <si>
    <t>2012</t>
  </si>
  <si>
    <t>101年度</t>
  </si>
  <si>
    <t>101年度
2012</t>
  </si>
  <si>
    <t>表 6-1 鄉鎮市公庫收支</t>
  </si>
  <si>
    <t>Table 6-1 Revenues of Township Treasuies</t>
  </si>
  <si>
    <t>Table 6-1 Expenditures of Township Treasuy(cont.end)</t>
  </si>
  <si>
    <t>表 6-1 鄉鎮市公庫收支(續完)</t>
  </si>
  <si>
    <t>1. Revenues</t>
  </si>
  <si>
    <t>2. Expenditures</t>
  </si>
  <si>
    <t xml:space="preserve">Final Accounts </t>
  </si>
  <si>
    <t>End of Year</t>
  </si>
  <si>
    <t>Total</t>
  </si>
  <si>
    <t>Domestic Banks</t>
  </si>
  <si>
    <t>Local Branches of Foreign Banks</t>
  </si>
  <si>
    <t>Investment and Trust Companies</t>
  </si>
  <si>
    <t>Credit Cooperatives</t>
  </si>
  <si>
    <t>Credit Dept. of Fishermen's Associations</t>
  </si>
  <si>
    <t>Bills Finance Companies</t>
  </si>
  <si>
    <t>Securities Finance Companies</t>
  </si>
  <si>
    <t>Domestic Life Isurance Companies</t>
  </si>
  <si>
    <t>Domestic Property &amp; Casualty Isurance Companies</t>
  </si>
  <si>
    <t>Foreign Life Isurance Companies</t>
  </si>
  <si>
    <t>Foreign Property &amp; Casualty Isurance Companies</t>
  </si>
  <si>
    <t>Reinsurance Companies</t>
  </si>
  <si>
    <t>Financial Holding Companies</t>
  </si>
  <si>
    <t>Credit Dept. of Farmer's Associations</t>
  </si>
  <si>
    <t>102年度</t>
  </si>
  <si>
    <t>2013</t>
  </si>
  <si>
    <t>102年度
2013</t>
  </si>
  <si>
    <r>
      <t>98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 2009</t>
    </r>
  </si>
  <si>
    <r>
      <t>99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 2010</t>
    </r>
  </si>
  <si>
    <r>
      <t>100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 2011</t>
    </r>
  </si>
  <si>
    <r>
      <t>101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 2012</t>
    </r>
  </si>
  <si>
    <r>
      <t>101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2012</t>
    </r>
  </si>
  <si>
    <t>資料來源：本鄉財政課</t>
  </si>
  <si>
    <t>補助及協助收入</t>
  </si>
  <si>
    <t>Table 6-1 Expenditures of Township Treasuy(cont. End)</t>
  </si>
  <si>
    <t>表 6-2 歲入預決算－按來源別分</t>
  </si>
  <si>
    <t>Table 6-2 The Budget and Final Accounts of Annual Revenues by Source</t>
  </si>
  <si>
    <t>表 6-2 歲入預決算－按來源別分(續完)</t>
  </si>
  <si>
    <t>Table 6-2 The Budget and Final Accounts of Annual Revenues by Source(Cont. End)</t>
  </si>
  <si>
    <t>表 6-3 歲出預決算－按政事別分</t>
  </si>
  <si>
    <t>Table 6-3 The Budget and Final Accounts of Annual Expenditures by Functions</t>
  </si>
  <si>
    <t>Table 6-3 The Budget and Final Accounts of Annual Expenditures 
by Functions(Cont. 1)</t>
  </si>
  <si>
    <t>表 6-3 歲出預決算－按政事別分(續1)</t>
  </si>
  <si>
    <t>表 6-3 歲出預決算－按政事別分(續2)</t>
  </si>
  <si>
    <t>Table 6-3 The Budget and Final Accounts of Annual Expenditures
by Functions(Cont. 2)</t>
  </si>
  <si>
    <t>表 6-3 歲出預決算－按政事別分(續完)</t>
  </si>
  <si>
    <t>Table 6-4 The Budget and Final Accounts of Annual Expenditures 
by Functions(Cont. End)</t>
  </si>
  <si>
    <t>資料來源：中央銀行全球資訊網/金融穩定與監理/金融監理資訊/全國金融機構一覽/全國金融機構統計表/
　　　　　各縣市金融機構機構分布情形-郵遞區號別/</t>
  </si>
  <si>
    <r>
      <t>98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2009</t>
    </r>
  </si>
  <si>
    <r>
      <t>99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2010</t>
    </r>
  </si>
  <si>
    <r>
      <t>100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2011</t>
    </r>
  </si>
  <si>
    <r>
      <t>101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2012</t>
    </r>
  </si>
  <si>
    <r>
      <t>102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2013</t>
    </r>
  </si>
  <si>
    <t>表 6-4  金融機構分佈　</t>
  </si>
  <si>
    <t>Table 6-4  Distribution of Principal Banks</t>
  </si>
  <si>
    <t>103年度</t>
  </si>
  <si>
    <t>2014</t>
  </si>
  <si>
    <t>103年度
2014</t>
  </si>
  <si>
    <r>
      <t>103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2014</t>
    </r>
  </si>
  <si>
    <t>102年度    2013</t>
  </si>
  <si>
    <t>102年度   2013</t>
  </si>
  <si>
    <t>Expenditure
for
Communication</t>
  </si>
  <si>
    <t>103年度    2014</t>
  </si>
  <si>
    <t>103年度   2014</t>
  </si>
  <si>
    <t>104年度</t>
  </si>
  <si>
    <t>2015</t>
  </si>
  <si>
    <t>104年度
2015</t>
  </si>
  <si>
    <t>一般政務
支出</t>
  </si>
  <si>
    <t>社會福利
支出</t>
  </si>
  <si>
    <r>
      <t>104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2015</t>
    </r>
  </si>
  <si>
    <t>公庫收入總額</t>
  </si>
  <si>
    <t>公庫支出總額</t>
  </si>
  <si>
    <t>104年度    2015</t>
  </si>
  <si>
    <t>104年度   2015</t>
  </si>
  <si>
    <t>105年度</t>
  </si>
  <si>
    <t>2016</t>
  </si>
  <si>
    <t>105年度
2016</t>
  </si>
  <si>
    <r>
      <t>105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2016</t>
    </r>
  </si>
  <si>
    <t>105年度    2016</t>
  </si>
  <si>
    <t>105年度   2016</t>
  </si>
  <si>
    <r>
      <t>106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2017</t>
    </r>
  </si>
  <si>
    <t>106年度</t>
  </si>
  <si>
    <t>2017</t>
  </si>
  <si>
    <t>106年度
2017</t>
  </si>
  <si>
    <r>
      <t>106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2017</t>
    </r>
  </si>
  <si>
    <r>
      <t>106</t>
    </r>
    <r>
      <rPr>
        <sz val="10"/>
        <rFont val="細明體"/>
        <family val="3"/>
      </rPr>
      <t>年度</t>
    </r>
    <r>
      <rPr>
        <sz val="10"/>
        <rFont val="Times New Roman"/>
        <family val="1"/>
      </rPr>
      <t xml:space="preserve">   2017</t>
    </r>
  </si>
  <si>
    <t>106年度    2017</t>
  </si>
  <si>
    <r>
      <t>107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 2018</t>
    </r>
  </si>
  <si>
    <r>
      <t>107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2018</t>
    </r>
  </si>
  <si>
    <r>
      <t>原　預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算
</t>
    </r>
    <r>
      <rPr>
        <sz val="9"/>
        <rFont val="Times New Roman"/>
        <family val="1"/>
      </rPr>
      <t>Original</t>
    </r>
  </si>
  <si>
    <t>107年度</t>
  </si>
  <si>
    <t>2018</t>
  </si>
  <si>
    <t>107年度
2018</t>
  </si>
  <si>
    <t>107年度
2018</t>
  </si>
  <si>
    <r>
      <t>107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2018</t>
    </r>
  </si>
  <si>
    <t>統籌分配稅</t>
  </si>
  <si>
    <t>民國107年度本鄉之各項稅課實收共達136,292千元，項目計有：地價稅、房屋稅、契稅、娛樂稅、遺產稅、贈與稅、統籌分配稅。</t>
  </si>
  <si>
    <r>
      <t>107</t>
    </r>
    <r>
      <rPr>
        <sz val="10"/>
        <rFont val="細明體"/>
        <family val="3"/>
      </rPr>
      <t>年度</t>
    </r>
    <r>
      <rPr>
        <sz val="10"/>
        <rFont val="Times New Roman"/>
        <family val="1"/>
      </rPr>
      <t xml:space="preserve">   2018</t>
    </r>
  </si>
  <si>
    <t>歲出預算方面：民國107年度，歲出預算總額為145,240千元，較上年度156,644千元，減少7.28％。依政事別分：一般政務支出67,377千元；占46.39％；教育科學文化支出7,765千元，占5.35％；經濟發展支出28,636千元，占19.72％；社會福利支出6,190千元，占4.26％；社區發展及環境保護支出11,668千元，占8.03％；退休撫卹支出6,736千元，占4.64％；其他支出5,810千元，占4％。</t>
  </si>
  <si>
    <r>
      <t>民國107年度，本鄉公庫收入總額為215,408千元，較上年度223,882千元，減少3</t>
    </r>
    <r>
      <rPr>
        <sz val="14"/>
        <color indexed="8"/>
        <rFont val="標楷體"/>
        <family val="4"/>
      </rPr>
      <t>.</t>
    </r>
    <r>
      <rPr>
        <sz val="14"/>
        <color indexed="8"/>
        <rFont val="標楷體"/>
        <family val="4"/>
      </rPr>
      <t>79</t>
    </r>
    <r>
      <rPr>
        <sz val="14"/>
        <color indexed="8"/>
        <rFont val="標楷體"/>
        <family val="4"/>
      </rPr>
      <t>％；</t>
    </r>
    <r>
      <rPr>
        <sz val="14"/>
        <color indexed="8"/>
        <rFont val="標楷體"/>
        <family val="4"/>
      </rPr>
      <t>公庫支出總額為202,271千元，較上年度210,602千元，</t>
    </r>
    <r>
      <rPr>
        <sz val="14"/>
        <color indexed="8"/>
        <rFont val="標楷體"/>
        <family val="4"/>
      </rPr>
      <t>減少</t>
    </r>
    <r>
      <rPr>
        <sz val="14"/>
        <color indexed="8"/>
        <rFont val="標楷體"/>
        <family val="4"/>
      </rPr>
      <t>3</t>
    </r>
    <r>
      <rPr>
        <sz val="14"/>
        <color indexed="8"/>
        <rFont val="標楷體"/>
        <family val="4"/>
      </rPr>
      <t>.</t>
    </r>
    <r>
      <rPr>
        <sz val="14"/>
        <color indexed="8"/>
        <rFont val="標楷體"/>
        <family val="4"/>
      </rPr>
      <t>97</t>
    </r>
    <r>
      <rPr>
        <sz val="14"/>
        <color indexed="8"/>
        <rFont val="標楷體"/>
        <family val="4"/>
      </rPr>
      <t>％</t>
    </r>
    <r>
      <rPr>
        <sz val="14"/>
        <color indexed="8"/>
        <rFont val="標楷體"/>
        <family val="4"/>
      </rPr>
      <t>。107年底公庫結存138,329千元，較上年底125,704千元，</t>
    </r>
    <r>
      <rPr>
        <sz val="14"/>
        <color indexed="8"/>
        <rFont val="標楷體"/>
        <family val="4"/>
      </rPr>
      <t>增加10.04％</t>
    </r>
    <r>
      <rPr>
        <sz val="14"/>
        <color indexed="8"/>
        <rFont val="標楷體"/>
        <family val="4"/>
      </rPr>
      <t>。金融機構分布僅東河鄉農會信用部3家(都蘭、東河、泰源)。</t>
    </r>
  </si>
  <si>
    <t>歲入預算方面：民國107年度，歲入預算總額為145,240千元，較上年度141,997千元，增加2.28％。依其來源別比較：稅課收入114,585千元，占78.89％；補助及協助收入25,491千元，占17.54％；規費收入2,977千元，占2.05％；財產收入498千元，占0.34％；其他收入1,679千元，占1.16％；罰款及賠償收入10千元，占0.01％。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</si>
</sst>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);\(#,##0\)"/>
    <numFmt numFmtId="183" formatCode="#,##0;[Red]#,##0"/>
    <numFmt numFmtId="184" formatCode="General&quot;金融&quot;"/>
    <numFmt numFmtId="185" formatCode="&quot;金融&quot;General"/>
    <numFmt numFmtId="186" formatCode="&quot;金融 &quot;General"/>
    <numFmt numFmtId="187" formatCode="&quot;金融、財稅 &quot;General"/>
    <numFmt numFmtId="188" formatCode="General&quot; 金融、財稅&quot;"/>
    <numFmt numFmtId="189" formatCode="#,##0.0000"/>
    <numFmt numFmtId="190" formatCode="#,##0_);[Red]\(#,##0\)"/>
    <numFmt numFmtId="191" formatCode="#,##0_ 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;\-#,##0;&quot;-&quot;"/>
    <numFmt numFmtId="201" formatCode="m&quot;月&quot;d&quot;日&quot;"/>
    <numFmt numFmtId="202" formatCode="0.00_ "/>
    <numFmt numFmtId="203" formatCode="_-* #\ ###\ ##0_-;\-* #,##0_-;_-* &quot;-&quot;_-;_-@_-"/>
    <numFmt numFmtId="204" formatCode="0_ "/>
    <numFmt numFmtId="205" formatCode="General&quot;金融、財稅&quot;"/>
    <numFmt numFmtId="206" formatCode="0.000%"/>
    <numFmt numFmtId="207" formatCode="[$-404]AM/PM\ hh:mm:ss"/>
    <numFmt numFmtId="208" formatCode="_-* #,##0.0000_-;\-* #,##0.0000_-;_-* &quot;-&quot;????_-;_-@_-"/>
    <numFmt numFmtId="209" formatCode="_-* #,##0.000000_-;\-* #,##0.000000_-;_-* &quot;-&quot;??????_-;_-@_-"/>
    <numFmt numFmtId="210" formatCode="_-* #,##0.00000_-;\-* #,##0.00000_-;_-* &quot;-&quot;?????_-;_-@_-"/>
    <numFmt numFmtId="211" formatCode="_-* #,##0.0000000_-;\-* #,##0.0000000_-;_-* &quot;-&quot;???????_-;_-@_-"/>
    <numFmt numFmtId="212" formatCode="_-* #,##0.00000000_-;\-* #,##0.00000000_-;_-* &quot;-&quot;????????_-;_-@_-"/>
    <numFmt numFmtId="213" formatCode="_-* #,##0.0_-;\-* #,##0.0_-;_-* &quot;-&quot;_-;_-@_-"/>
  </numFmts>
  <fonts count="68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"/>
      <family val="1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9"/>
      <name val="Times New Roman"/>
      <family val="1"/>
    </font>
    <font>
      <sz val="11"/>
      <name val="華康中黑體"/>
      <family val="3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sz val="48"/>
      <name val="標楷體"/>
      <family val="4"/>
    </font>
    <font>
      <sz val="8"/>
      <name val="Times New Roman"/>
      <family val="1"/>
    </font>
    <font>
      <sz val="10"/>
      <name val="細明體"/>
      <family val="3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6"/>
      <name val="Times New Roman"/>
      <family val="1"/>
    </font>
    <font>
      <u val="single"/>
      <sz val="9"/>
      <color indexed="36"/>
      <name val="Times New Roman"/>
      <family val="1"/>
    </font>
    <font>
      <sz val="10"/>
      <color indexed="8"/>
      <name val="標楷體"/>
      <family val="4"/>
    </font>
    <font>
      <sz val="9.2"/>
      <color indexed="8"/>
      <name val="標楷體"/>
      <family val="4"/>
    </font>
    <font>
      <sz val="9.5"/>
      <color indexed="8"/>
      <name val="標楷體"/>
      <family val="4"/>
    </font>
    <font>
      <sz val="8.75"/>
      <color indexed="8"/>
      <name val="標楷體"/>
      <family val="4"/>
    </font>
    <font>
      <sz val="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.75"/>
      <color indexed="8"/>
      <name val="標楷體"/>
      <family val="4"/>
    </font>
    <font>
      <sz val="10.75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4" fillId="0" borderId="0" applyNumberFormat="0" applyFont="0" applyBorder="0" applyAlignment="0">
      <protection/>
    </xf>
    <xf numFmtId="0" fontId="3" fillId="0" borderId="0">
      <alignment/>
      <protection/>
    </xf>
    <xf numFmtId="0" fontId="3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0" fontId="5" fillId="0" borderId="2">
      <alignment/>
      <protection/>
    </xf>
    <xf numFmtId="9" fontId="0" fillId="0" borderId="0" applyFont="0" applyFill="0" applyBorder="0" applyAlignment="0" applyProtection="0"/>
    <xf numFmtId="0" fontId="56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0" fillId="23" borderId="5" applyNumberFormat="0" applyFont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3" applyNumberFormat="0" applyAlignment="0" applyProtection="0"/>
    <xf numFmtId="0" fontId="64" fillId="22" borderId="9" applyNumberFormat="0" applyAlignment="0" applyProtection="0"/>
    <xf numFmtId="0" fontId="65" fillId="31" borderId="10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vertical="center"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Alignment="1">
      <alignment/>
    </xf>
    <xf numFmtId="41" fontId="3" fillId="0" borderId="0" xfId="0" applyNumberFormat="1" applyFont="1" applyAlignment="1" quotePrefix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0" fillId="0" borderId="0" xfId="0" applyNumberFormat="1" applyAlignment="1" quotePrefix="1">
      <alignment horizontal="centerContinuous"/>
    </xf>
    <xf numFmtId="41" fontId="0" fillId="0" borderId="0" xfId="0" applyNumberFormat="1" applyAlignment="1">
      <alignment horizontal="centerContinuous"/>
    </xf>
    <xf numFmtId="41" fontId="0" fillId="0" borderId="0" xfId="0" applyNumberFormat="1" applyBorder="1" applyAlignment="1">
      <alignment/>
    </xf>
    <xf numFmtId="41" fontId="9" fillId="0" borderId="11" xfId="0" applyNumberFormat="1" applyFont="1" applyBorder="1" applyAlignment="1">
      <alignment horizontal="center" vertical="center"/>
    </xf>
    <xf numFmtId="41" fontId="9" fillId="0" borderId="12" xfId="0" applyNumberFormat="1" applyFont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right" vertical="top"/>
    </xf>
    <xf numFmtId="41" fontId="3" fillId="0" borderId="12" xfId="0" applyNumberFormat="1" applyFont="1" applyBorder="1" applyAlignment="1" quotePrefix="1">
      <alignment horizontal="right" vertical="top"/>
    </xf>
    <xf numFmtId="3" fontId="0" fillId="0" borderId="0" xfId="0" applyNumberFormat="1" applyBorder="1" applyAlignment="1">
      <alignment vertical="center"/>
    </xf>
    <xf numFmtId="183" fontId="3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3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41" fontId="10" fillId="0" borderId="0" xfId="0" applyNumberFormat="1" applyFont="1" applyAlignment="1" quotePrefix="1">
      <alignment horizontal="left"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7" fillId="0" borderId="0" xfId="0" applyNumberFormat="1" applyFont="1" applyBorder="1" applyAlignment="1">
      <alignment/>
    </xf>
    <xf numFmtId="41" fontId="11" fillId="0" borderId="0" xfId="0" applyNumberFormat="1" applyFont="1" applyBorder="1" applyAlignment="1" quotePrefix="1">
      <alignment horizontal="center" vertical="center"/>
    </xf>
    <xf numFmtId="41" fontId="9" fillId="0" borderId="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/>
    </xf>
    <xf numFmtId="41" fontId="9" fillId="0" borderId="0" xfId="0" applyNumberFormat="1" applyFont="1" applyBorder="1" applyAlignment="1" quotePrefix="1">
      <alignment horizontal="center" vertical="top"/>
    </xf>
    <xf numFmtId="41" fontId="9" fillId="0" borderId="12" xfId="0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 vertical="center"/>
    </xf>
    <xf numFmtId="0" fontId="3" fillId="0" borderId="0" xfId="34">
      <alignment/>
      <protection/>
    </xf>
    <xf numFmtId="0" fontId="3" fillId="0" borderId="0" xfId="34" applyAlignment="1">
      <alignment/>
      <protection/>
    </xf>
    <xf numFmtId="41" fontId="8" fillId="0" borderId="0" xfId="0" applyNumberFormat="1" applyFont="1" applyAlignment="1">
      <alignment/>
    </xf>
    <xf numFmtId="184" fontId="2" fillId="0" borderId="0" xfId="0" applyNumberFormat="1" applyFont="1" applyAlignment="1" quotePrefix="1">
      <alignment horizontal="left" vertical="center"/>
    </xf>
    <xf numFmtId="41" fontId="2" fillId="0" borderId="0" xfId="0" applyNumberFormat="1" applyFont="1" applyAlignment="1">
      <alignment vertical="center"/>
    </xf>
    <xf numFmtId="185" fontId="2" fillId="0" borderId="0" xfId="0" applyNumberFormat="1" applyFont="1" applyAlignment="1" quotePrefix="1">
      <alignment horizontal="right" vertical="center"/>
    </xf>
    <xf numFmtId="41" fontId="2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2" fillId="0" borderId="12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 wrapText="1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8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 horizontal="center" vertical="center" wrapText="1"/>
    </xf>
    <xf numFmtId="41" fontId="0" fillId="0" borderId="0" xfId="0" applyNumberFormat="1" applyFont="1" applyAlignment="1">
      <alignment/>
    </xf>
    <xf numFmtId="41" fontId="2" fillId="0" borderId="12" xfId="0" applyNumberFormat="1" applyFont="1" applyBorder="1" applyAlignment="1">
      <alignment horizontal="center"/>
    </xf>
    <xf numFmtId="41" fontId="0" fillId="0" borderId="0" xfId="0" applyNumberFormat="1" applyFont="1" applyAlignment="1" quotePrefix="1">
      <alignment horizontal="centerContinuous"/>
    </xf>
    <xf numFmtId="41" fontId="3" fillId="0" borderId="0" xfId="0" applyNumberFormat="1" applyFont="1" applyAlignment="1" quotePrefix="1">
      <alignment vertical="center"/>
    </xf>
    <xf numFmtId="41" fontId="3" fillId="0" borderId="0" xfId="0" applyNumberFormat="1" applyFont="1" applyBorder="1" applyAlignment="1">
      <alignment vertical="center"/>
    </xf>
    <xf numFmtId="41" fontId="1" fillId="0" borderId="0" xfId="0" applyNumberFormat="1" applyFont="1" applyAlignment="1" quotePrefix="1">
      <alignment/>
    </xf>
    <xf numFmtId="0" fontId="7" fillId="0" borderId="0" xfId="34" applyFont="1" applyAlignment="1">
      <alignment/>
      <protection/>
    </xf>
    <xf numFmtId="0" fontId="2" fillId="0" borderId="0" xfId="0" applyFont="1" applyBorder="1" applyAlignment="1" quotePrefix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2" fillId="0" borderId="0" xfId="0" applyNumberFormat="1" applyFont="1" applyBorder="1" applyAlignment="1" quotePrefix="1">
      <alignment horizontal="centerContinuous" vertical="center" wrapText="1"/>
    </xf>
    <xf numFmtId="0" fontId="3" fillId="0" borderId="0" xfId="34" applyBorder="1">
      <alignment/>
      <protection/>
    </xf>
    <xf numFmtId="0" fontId="3" fillId="0" borderId="0" xfId="34" applyAlignment="1">
      <alignment vertical="top"/>
      <protection/>
    </xf>
    <xf numFmtId="4" fontId="3" fillId="0" borderId="0" xfId="34" applyNumberFormat="1">
      <alignment/>
      <protection/>
    </xf>
    <xf numFmtId="3" fontId="3" fillId="0" borderId="0" xfId="34" applyNumberFormat="1">
      <alignment/>
      <protection/>
    </xf>
    <xf numFmtId="0" fontId="2" fillId="0" borderId="0" xfId="34" applyFont="1">
      <alignment/>
      <protection/>
    </xf>
    <xf numFmtId="38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1" fontId="3" fillId="0" borderId="14" xfId="0" applyNumberFormat="1" applyFont="1" applyBorder="1" applyAlignment="1">
      <alignment horizontal="center" vertical="center" wrapText="1"/>
    </xf>
    <xf numFmtId="41" fontId="14" fillId="0" borderId="14" xfId="0" applyNumberFormat="1" applyFon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3" fillId="0" borderId="13" xfId="0" applyNumberFormat="1" applyFont="1" applyBorder="1" applyAlignment="1">
      <alignment horizontal="center" vertical="center" wrapText="1"/>
    </xf>
    <xf numFmtId="38" fontId="4" fillId="0" borderId="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Continuous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1" fontId="3" fillId="0" borderId="13" xfId="0" applyNumberFormat="1" applyFont="1" applyBorder="1" applyAlignment="1">
      <alignment horizontal="centerContinuous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38" fontId="16" fillId="0" borderId="0" xfId="0" applyNumberFormat="1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38" fontId="17" fillId="0" borderId="0" xfId="0" applyNumberFormat="1" applyFont="1" applyAlignment="1">
      <alignment horizontal="centerContinuous" vertical="center"/>
    </xf>
    <xf numFmtId="38" fontId="7" fillId="0" borderId="0" xfId="0" applyNumberFormat="1" applyFont="1" applyAlignment="1">
      <alignment horizontal="centerContinuous" vertical="center"/>
    </xf>
    <xf numFmtId="38" fontId="3" fillId="0" borderId="14" xfId="0" applyNumberFormat="1" applyFont="1" applyBorder="1" applyAlignment="1">
      <alignment horizontal="center" vertical="center" wrapText="1"/>
    </xf>
    <xf numFmtId="38" fontId="14" fillId="0" borderId="14" xfId="0" applyNumberFormat="1" applyFont="1" applyBorder="1" applyAlignment="1">
      <alignment horizontal="center" vertical="center" wrapText="1"/>
    </xf>
    <xf numFmtId="187" fontId="18" fillId="0" borderId="0" xfId="0" applyNumberFormat="1" applyFont="1" applyAlignment="1" quotePrefix="1">
      <alignment horizontal="right" vertical="center"/>
    </xf>
    <xf numFmtId="0" fontId="20" fillId="0" borderId="0" xfId="34" applyFont="1" applyAlignment="1">
      <alignment horizontal="justify"/>
      <protection/>
    </xf>
    <xf numFmtId="0" fontId="20" fillId="0" borderId="0" xfId="34" applyFont="1" applyAlignment="1">
      <alignment vertical="top" wrapText="1"/>
      <protection/>
    </xf>
    <xf numFmtId="0" fontId="21" fillId="0" borderId="0" xfId="34" applyFont="1" applyAlignment="1">
      <alignment horizontal="justify"/>
      <protection/>
    </xf>
    <xf numFmtId="0" fontId="21" fillId="0" borderId="0" xfId="34" applyFont="1" applyAlignment="1">
      <alignment vertical="top" wrapText="1"/>
      <protection/>
    </xf>
    <xf numFmtId="0" fontId="20" fillId="0" borderId="0" xfId="34" applyFont="1" applyAlignment="1">
      <alignment horizontal="justify" vertical="top"/>
      <protection/>
    </xf>
    <xf numFmtId="0" fontId="20" fillId="0" borderId="0" xfId="34" applyFont="1" applyAlignment="1">
      <alignment wrapText="1"/>
      <protection/>
    </xf>
    <xf numFmtId="0" fontId="23" fillId="0" borderId="0" xfId="34" applyFont="1" applyAlignment="1">
      <alignment/>
      <protection/>
    </xf>
    <xf numFmtId="0" fontId="18" fillId="0" borderId="0" xfId="34" applyFont="1">
      <alignment/>
      <protection/>
    </xf>
    <xf numFmtId="0" fontId="20" fillId="0" borderId="0" xfId="34" applyFont="1" applyAlignment="1">
      <alignment horizontal="justify" vertical="top" wrapText="1"/>
      <protection/>
    </xf>
    <xf numFmtId="188" fontId="18" fillId="0" borderId="0" xfId="0" applyNumberFormat="1" applyFont="1" applyAlignment="1" quotePrefix="1">
      <alignment horizontal="left" vertical="center"/>
    </xf>
    <xf numFmtId="38" fontId="18" fillId="0" borderId="12" xfId="0" applyNumberFormat="1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38" fontId="18" fillId="0" borderId="16" xfId="0" applyNumberFormat="1" applyFont="1" applyBorder="1" applyAlignment="1">
      <alignment horizontal="center" vertical="center" wrapText="1"/>
    </xf>
    <xf numFmtId="38" fontId="18" fillId="0" borderId="17" xfId="0" applyNumberFormat="1" applyFont="1" applyBorder="1" applyAlignment="1">
      <alignment horizontal="center" vertical="center" wrapText="1"/>
    </xf>
    <xf numFmtId="38" fontId="3" fillId="0" borderId="18" xfId="0" applyNumberFormat="1" applyFont="1" applyBorder="1" applyAlignment="1" quotePrefix="1">
      <alignment horizontal="centerContinuous" vertical="center" wrapText="1"/>
    </xf>
    <xf numFmtId="38" fontId="3" fillId="0" borderId="11" xfId="0" applyNumberFormat="1" applyFont="1" applyBorder="1" applyAlignment="1">
      <alignment horizontal="center" vertical="center" wrapText="1"/>
    </xf>
    <xf numFmtId="186" fontId="18" fillId="0" borderId="0" xfId="0" applyNumberFormat="1" applyFont="1" applyAlignment="1" quotePrefix="1">
      <alignment horizontal="right" vertical="center"/>
    </xf>
    <xf numFmtId="41" fontId="3" fillId="0" borderId="19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NumberFormat="1" applyFont="1" applyAlignment="1" quotePrefix="1">
      <alignment/>
    </xf>
    <xf numFmtId="0" fontId="18" fillId="0" borderId="20" xfId="0" applyNumberFormat="1" applyFont="1" applyBorder="1" applyAlignment="1">
      <alignment horizontal="centerContinuous" vertical="center" wrapText="1"/>
    </xf>
    <xf numFmtId="0" fontId="18" fillId="0" borderId="21" xfId="0" applyNumberFormat="1" applyFont="1" applyBorder="1" applyAlignment="1" quotePrefix="1">
      <alignment horizontal="center" vertical="center" wrapText="1"/>
    </xf>
    <xf numFmtId="0" fontId="18" fillId="0" borderId="19" xfId="0" applyNumberFormat="1" applyFont="1" applyBorder="1" applyAlignment="1" quotePrefix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0" fontId="18" fillId="0" borderId="20" xfId="0" applyNumberFormat="1" applyFont="1" applyBorder="1" applyAlignment="1">
      <alignment horizontal="center" vertical="center" wrapText="1"/>
    </xf>
    <xf numFmtId="0" fontId="18" fillId="0" borderId="21" xfId="0" applyNumberFormat="1" applyFont="1" applyBorder="1" applyAlignment="1">
      <alignment horizontal="center" vertical="center" wrapText="1"/>
    </xf>
    <xf numFmtId="38" fontId="3" fillId="0" borderId="0" xfId="0" applyNumberFormat="1" applyFont="1" applyAlignment="1" quotePrefix="1">
      <alignment horizontal="left" vertical="center"/>
    </xf>
    <xf numFmtId="41" fontId="7" fillId="0" borderId="0" xfId="0" applyNumberFormat="1" applyFont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38" fontId="4" fillId="0" borderId="2" xfId="0" applyNumberFormat="1" applyFont="1" applyBorder="1" applyAlignment="1">
      <alignment horizontal="center" vertical="center" shrinkToFit="1"/>
    </xf>
    <xf numFmtId="38" fontId="18" fillId="0" borderId="12" xfId="0" applyNumberFormat="1" applyFont="1" applyBorder="1" applyAlignment="1">
      <alignment horizontal="right" vertical="center"/>
    </xf>
    <xf numFmtId="38" fontId="18" fillId="0" borderId="20" xfId="0" applyNumberFormat="1" applyFont="1" applyBorder="1" applyAlignment="1">
      <alignment horizontal="center" vertical="center"/>
    </xf>
    <xf numFmtId="38" fontId="18" fillId="0" borderId="22" xfId="0" applyNumberFormat="1" applyFont="1" applyBorder="1" applyAlignment="1">
      <alignment horizontal="centerContinuous" vertical="center" wrapText="1"/>
    </xf>
    <xf numFmtId="41" fontId="18" fillId="0" borderId="12" xfId="0" applyNumberFormat="1" applyFont="1" applyBorder="1" applyAlignment="1">
      <alignment horizontal="left" vertical="center"/>
    </xf>
    <xf numFmtId="0" fontId="18" fillId="0" borderId="23" xfId="0" applyNumberFormat="1" applyFont="1" applyFill="1" applyBorder="1" applyAlignment="1">
      <alignment horizontal="centerContinuous" vertical="center"/>
    </xf>
    <xf numFmtId="0" fontId="3" fillId="0" borderId="23" xfId="0" applyNumberFormat="1" applyFont="1" applyBorder="1" applyAlignment="1">
      <alignment horizontal="centerContinuous" vertical="center"/>
    </xf>
    <xf numFmtId="0" fontId="3" fillId="0" borderId="24" xfId="0" applyNumberFormat="1" applyFont="1" applyBorder="1" applyAlignment="1">
      <alignment horizontal="centerContinuous" vertical="center"/>
    </xf>
    <xf numFmtId="0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41" fontId="18" fillId="0" borderId="21" xfId="0" applyNumberFormat="1" applyFont="1" applyBorder="1" applyAlignment="1">
      <alignment horizontal="center" vertical="center"/>
    </xf>
    <xf numFmtId="0" fontId="18" fillId="0" borderId="25" xfId="0" applyNumberFormat="1" applyFont="1" applyBorder="1" applyAlignment="1">
      <alignment horizontal="center" vertical="center" wrapText="1"/>
    </xf>
    <xf numFmtId="0" fontId="18" fillId="0" borderId="26" xfId="0" applyNumberFormat="1" applyFont="1" applyBorder="1" applyAlignment="1">
      <alignment horizontal="center" vertical="center" wrapText="1"/>
    </xf>
    <xf numFmtId="0" fontId="18" fillId="0" borderId="27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 quotePrefix="1">
      <alignment horizontal="left" vertical="center"/>
    </xf>
    <xf numFmtId="41" fontId="18" fillId="0" borderId="2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top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24" fillId="0" borderId="0" xfId="0" applyNumberFormat="1" applyFont="1" applyAlignment="1">
      <alignment vertical="center"/>
    </xf>
    <xf numFmtId="0" fontId="18" fillId="0" borderId="28" xfId="0" applyNumberFormat="1" applyFont="1" applyBorder="1" applyAlignment="1">
      <alignment horizontal="centerContinuous" vertical="center" wrapText="1"/>
    </xf>
    <xf numFmtId="0" fontId="3" fillId="0" borderId="20" xfId="0" applyNumberFormat="1" applyFont="1" applyBorder="1" applyAlignment="1">
      <alignment horizontal="centerContinuous" vertical="center" wrapText="1"/>
    </xf>
    <xf numFmtId="0" fontId="18" fillId="0" borderId="19" xfId="0" applyNumberFormat="1" applyFont="1" applyBorder="1" applyAlignment="1">
      <alignment horizontal="centerContinuous" vertical="center" wrapText="1"/>
    </xf>
    <xf numFmtId="41" fontId="24" fillId="0" borderId="0" xfId="0" applyNumberFormat="1" applyFont="1" applyBorder="1" applyAlignment="1" quotePrefix="1">
      <alignment horizontal="left" vertic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6" fillId="0" borderId="0" xfId="34" applyFont="1" applyAlignment="1">
      <alignment horizontal="right"/>
      <protection/>
    </xf>
    <xf numFmtId="0" fontId="6" fillId="0" borderId="0" xfId="34" applyFont="1" applyAlignment="1">
      <alignment horizontal="right" vertical="top"/>
      <protection/>
    </xf>
    <xf numFmtId="0" fontId="15" fillId="0" borderId="0" xfId="34" applyFont="1" applyAlignment="1">
      <alignment horizontal="center" wrapText="1"/>
      <protection/>
    </xf>
    <xf numFmtId="0" fontId="15" fillId="0" borderId="0" xfId="34" applyFont="1" applyAlignment="1">
      <alignment horizontal="right"/>
      <protection/>
    </xf>
    <xf numFmtId="10" fontId="4" fillId="0" borderId="0" xfId="0" applyNumberFormat="1" applyFont="1" applyBorder="1" applyAlignment="1" quotePrefix="1">
      <alignment horizontal="center" vertical="top"/>
    </xf>
    <xf numFmtId="10" fontId="9" fillId="0" borderId="0" xfId="0" applyNumberFormat="1" applyFont="1" applyBorder="1" applyAlignment="1">
      <alignment/>
    </xf>
    <xf numFmtId="41" fontId="3" fillId="0" borderId="13" xfId="0" applyNumberFormat="1" applyFont="1" applyBorder="1" applyAlignment="1">
      <alignment horizontal="center" vertical="center"/>
    </xf>
    <xf numFmtId="41" fontId="11" fillId="0" borderId="0" xfId="0" applyNumberFormat="1" applyFont="1" applyFill="1" applyBorder="1" applyAlignment="1" quotePrefix="1">
      <alignment horizontal="center" vertical="center"/>
    </xf>
    <xf numFmtId="41" fontId="3" fillId="0" borderId="0" xfId="34" applyNumberFormat="1">
      <alignment/>
      <protection/>
    </xf>
    <xf numFmtId="10" fontId="4" fillId="0" borderId="0" xfId="34" applyNumberFormat="1" applyFont="1" applyAlignment="1">
      <alignment vertical="top"/>
      <protection/>
    </xf>
    <xf numFmtId="0" fontId="6" fillId="0" borderId="0" xfId="34" applyFont="1" applyAlignment="1">
      <alignment/>
      <protection/>
    </xf>
    <xf numFmtId="187" fontId="18" fillId="0" borderId="0" xfId="0" applyNumberFormat="1" applyFont="1" applyAlignment="1" quotePrefix="1">
      <alignment horizontal="right" vertical="center" shrinkToFit="1"/>
    </xf>
    <xf numFmtId="41" fontId="11" fillId="0" borderId="29" xfId="0" applyNumberFormat="1" applyFont="1" applyFill="1" applyBorder="1" applyAlignment="1" quotePrefix="1">
      <alignment horizontal="center" vertical="center"/>
    </xf>
    <xf numFmtId="190" fontId="3" fillId="0" borderId="0" xfId="0" applyNumberFormat="1" applyFont="1" applyAlignment="1" quotePrefix="1">
      <alignment/>
    </xf>
    <xf numFmtId="190" fontId="3" fillId="0" borderId="0" xfId="0" applyNumberFormat="1" applyFont="1" applyAlignment="1">
      <alignment/>
    </xf>
    <xf numFmtId="190" fontId="3" fillId="0" borderId="0" xfId="0" applyNumberFormat="1" applyFont="1" applyBorder="1" applyAlignment="1">
      <alignment/>
    </xf>
    <xf numFmtId="190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90" fontId="18" fillId="0" borderId="0" xfId="0" applyNumberFormat="1" applyFont="1" applyBorder="1" applyAlignment="1">
      <alignment horizontal="left" vertical="center"/>
    </xf>
    <xf numFmtId="190" fontId="3" fillId="0" borderId="0" xfId="0" applyNumberFormat="1" applyFont="1" applyBorder="1" applyAlignment="1">
      <alignment/>
    </xf>
    <xf numFmtId="190" fontId="3" fillId="0" borderId="0" xfId="0" applyNumberFormat="1" applyFont="1" applyAlignment="1">
      <alignment/>
    </xf>
    <xf numFmtId="190" fontId="18" fillId="0" borderId="12" xfId="0" applyNumberFormat="1" applyFont="1" applyBorder="1" applyAlignment="1">
      <alignment horizontal="right" vertical="center"/>
    </xf>
    <xf numFmtId="190" fontId="18" fillId="0" borderId="19" xfId="0" applyNumberFormat="1" applyFont="1" applyBorder="1" applyAlignment="1" quotePrefix="1">
      <alignment horizontal="center" vertical="center" wrapText="1"/>
    </xf>
    <xf numFmtId="190" fontId="18" fillId="0" borderId="19" xfId="0" applyNumberFormat="1" applyFont="1" applyBorder="1" applyAlignment="1">
      <alignment horizontal="center" vertical="center" wrapText="1"/>
    </xf>
    <xf numFmtId="190" fontId="18" fillId="0" borderId="20" xfId="0" applyNumberFormat="1" applyFont="1" applyBorder="1" applyAlignment="1">
      <alignment horizontal="center" vertical="center" wrapText="1"/>
    </xf>
    <xf numFmtId="190" fontId="18" fillId="0" borderId="21" xfId="0" applyNumberFormat="1" applyFont="1" applyBorder="1" applyAlignment="1" quotePrefix="1">
      <alignment horizontal="center" vertical="center" wrapText="1"/>
    </xf>
    <xf numFmtId="190" fontId="3" fillId="0" borderId="13" xfId="0" applyNumberFormat="1" applyFont="1" applyBorder="1" applyAlignment="1">
      <alignment horizontal="center" vertical="center" wrapText="1"/>
    </xf>
    <xf numFmtId="190" fontId="3" fillId="0" borderId="14" xfId="0" applyNumberFormat="1" applyFont="1" applyBorder="1" applyAlignment="1">
      <alignment horizontal="center" vertical="center" wrapText="1"/>
    </xf>
    <xf numFmtId="190" fontId="3" fillId="0" borderId="11" xfId="0" applyNumberFormat="1" applyFont="1" applyBorder="1" applyAlignment="1">
      <alignment horizontal="center" vertical="center" wrapText="1"/>
    </xf>
    <xf numFmtId="190" fontId="3" fillId="0" borderId="12" xfId="0" applyNumberFormat="1" applyFont="1" applyBorder="1" applyAlignment="1">
      <alignment horizontal="center" vertical="center" wrapText="1"/>
    </xf>
    <xf numFmtId="190" fontId="18" fillId="0" borderId="0" xfId="0" applyNumberFormat="1" applyFont="1" applyBorder="1" applyAlignment="1">
      <alignment horizontal="center"/>
    </xf>
    <xf numFmtId="190" fontId="0" fillId="0" borderId="0" xfId="0" applyNumberFormat="1" applyAlignment="1">
      <alignment/>
    </xf>
    <xf numFmtId="190" fontId="9" fillId="0" borderId="0" xfId="0" applyNumberFormat="1" applyFont="1" applyBorder="1" applyAlignment="1" quotePrefix="1">
      <alignment horizontal="center"/>
    </xf>
    <xf numFmtId="190" fontId="9" fillId="0" borderId="0" xfId="0" applyNumberFormat="1" applyFont="1" applyBorder="1" applyAlignment="1">
      <alignment horizontal="center"/>
    </xf>
    <xf numFmtId="190" fontId="9" fillId="0" borderId="0" xfId="0" applyNumberFormat="1" applyFont="1" applyBorder="1" applyAlignment="1" quotePrefix="1">
      <alignment horizontal="center" vertical="top"/>
    </xf>
    <xf numFmtId="190" fontId="9" fillId="0" borderId="0" xfId="0" applyNumberFormat="1" applyFont="1" applyBorder="1" applyAlignment="1">
      <alignment horizontal="center" vertical="top"/>
    </xf>
    <xf numFmtId="190" fontId="2" fillId="0" borderId="12" xfId="0" applyNumberFormat="1" applyFont="1" applyBorder="1" applyAlignment="1">
      <alignment horizontal="center" vertical="top"/>
    </xf>
    <xf numFmtId="190" fontId="2" fillId="0" borderId="13" xfId="0" applyNumberFormat="1" applyFont="1" applyBorder="1" applyAlignment="1">
      <alignment horizontal="center" vertical="top" wrapText="1"/>
    </xf>
    <xf numFmtId="190" fontId="9" fillId="0" borderId="12" xfId="0" applyNumberFormat="1" applyFont="1" applyBorder="1" applyAlignment="1" quotePrefix="1">
      <alignment horizontal="center" vertical="top"/>
    </xf>
    <xf numFmtId="190" fontId="9" fillId="0" borderId="12" xfId="0" applyNumberFormat="1" applyFont="1" applyBorder="1" applyAlignment="1">
      <alignment horizontal="center" vertical="top"/>
    </xf>
    <xf numFmtId="190" fontId="2" fillId="0" borderId="0" xfId="0" applyNumberFormat="1" applyFont="1" applyAlignment="1" quotePrefix="1">
      <alignment/>
    </xf>
    <xf numFmtId="190" fontId="24" fillId="0" borderId="0" xfId="0" applyNumberFormat="1" applyFont="1" applyBorder="1" applyAlignment="1" quotePrefix="1">
      <alignment horizontal="left" vertical="center"/>
    </xf>
    <xf numFmtId="190" fontId="0" fillId="0" borderId="0" xfId="0" applyNumberFormat="1" applyFont="1" applyAlignment="1" quotePrefix="1">
      <alignment horizontal="centerContinuous"/>
    </xf>
    <xf numFmtId="190" fontId="0" fillId="0" borderId="0" xfId="0" applyNumberFormat="1" applyFont="1" applyAlignment="1">
      <alignment horizontal="centerContinuous"/>
    </xf>
    <xf numFmtId="190" fontId="2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90" fontId="18" fillId="0" borderId="0" xfId="0" applyNumberFormat="1" applyFont="1" applyBorder="1" applyAlignment="1">
      <alignment vertical="center"/>
    </xf>
    <xf numFmtId="190" fontId="18" fillId="0" borderId="12" xfId="0" applyNumberFormat="1" applyFont="1" applyBorder="1" applyAlignment="1">
      <alignment vertical="center"/>
    </xf>
    <xf numFmtId="190" fontId="2" fillId="0" borderId="0" xfId="0" applyNumberFormat="1" applyFont="1" applyAlignment="1">
      <alignment vertical="center" wrapText="1"/>
    </xf>
    <xf numFmtId="190" fontId="18" fillId="0" borderId="2" xfId="0" applyNumberFormat="1" applyFont="1" applyBorder="1" applyAlignment="1">
      <alignment wrapText="1"/>
    </xf>
    <xf numFmtId="190" fontId="0" fillId="0" borderId="0" xfId="0" applyNumberFormat="1" applyAlignment="1">
      <alignment/>
    </xf>
    <xf numFmtId="190" fontId="18" fillId="0" borderId="2" xfId="0" applyNumberFormat="1" applyFont="1" applyBorder="1" applyAlignment="1">
      <alignment vertical="top" wrapText="1"/>
    </xf>
    <xf numFmtId="190" fontId="24" fillId="0" borderId="0" xfId="0" applyNumberFormat="1" applyFont="1" applyBorder="1" applyAlignment="1" quotePrefix="1">
      <alignment vertical="center"/>
    </xf>
    <xf numFmtId="190" fontId="0" fillId="0" borderId="0" xfId="0" applyNumberFormat="1" applyFont="1" applyAlignment="1">
      <alignment/>
    </xf>
    <xf numFmtId="190" fontId="0" fillId="0" borderId="12" xfId="0" applyNumberFormat="1" applyFont="1" applyBorder="1" applyAlignment="1">
      <alignment/>
    </xf>
    <xf numFmtId="190" fontId="0" fillId="0" borderId="13" xfId="0" applyNumberFormat="1" applyFont="1" applyBorder="1" applyAlignment="1">
      <alignment/>
    </xf>
    <xf numFmtId="190" fontId="18" fillId="0" borderId="20" xfId="0" applyNumberFormat="1" applyFont="1" applyBorder="1" applyAlignment="1" quotePrefix="1">
      <alignment horizontal="center" vertical="center" wrapText="1"/>
    </xf>
    <xf numFmtId="190" fontId="18" fillId="0" borderId="21" xfId="0" applyNumberFormat="1" applyFont="1" applyBorder="1" applyAlignment="1">
      <alignment horizontal="center" vertical="center" wrapText="1"/>
    </xf>
    <xf numFmtId="0" fontId="24" fillId="0" borderId="0" xfId="35" applyFont="1" applyBorder="1" applyAlignment="1">
      <alignment horizontal="left" vertical="center"/>
      <protection/>
    </xf>
    <xf numFmtId="0" fontId="18" fillId="0" borderId="0" xfId="35" applyFont="1" applyAlignment="1">
      <alignment vertical="center"/>
      <protection/>
    </xf>
    <xf numFmtId="0" fontId="18" fillId="0" borderId="0" xfId="35" applyFont="1" applyBorder="1" applyAlignment="1">
      <alignment vertical="center"/>
      <protection/>
    </xf>
    <xf numFmtId="0" fontId="23" fillId="0" borderId="0" xfId="35" applyFont="1" applyAlignment="1">
      <alignment horizontal="left" vertical="center"/>
      <protection/>
    </xf>
    <xf numFmtId="0" fontId="23" fillId="0" borderId="0" xfId="35" applyFont="1" applyAlignment="1">
      <alignment vertical="center"/>
      <protection/>
    </xf>
    <xf numFmtId="0" fontId="18" fillId="0" borderId="0" xfId="35" applyFont="1" applyBorder="1" applyAlignment="1" quotePrefix="1">
      <alignment horizontal="left"/>
      <protection/>
    </xf>
    <xf numFmtId="0" fontId="18" fillId="0" borderId="0" xfId="35" applyFont="1" applyAlignment="1">
      <alignment/>
      <protection/>
    </xf>
    <xf numFmtId="0" fontId="18" fillId="0" borderId="0" xfId="35" applyFont="1" applyBorder="1" applyAlignment="1">
      <alignment/>
      <protection/>
    </xf>
    <xf numFmtId="0" fontId="18" fillId="0" borderId="0" xfId="35" applyFont="1" applyBorder="1" applyAlignment="1">
      <alignment horizontal="right"/>
      <protection/>
    </xf>
    <xf numFmtId="0" fontId="18" fillId="0" borderId="20" xfId="35" applyFont="1" applyBorder="1" applyAlignment="1" quotePrefix="1">
      <alignment horizontal="center" vertical="center" wrapText="1"/>
      <protection/>
    </xf>
    <xf numFmtId="0" fontId="18" fillId="0" borderId="0" xfId="35" applyFont="1" applyBorder="1" applyAlignment="1">
      <alignment vertical="center" wrapText="1"/>
      <protection/>
    </xf>
    <xf numFmtId="0" fontId="18" fillId="0" borderId="0" xfId="35" applyFont="1" applyBorder="1" applyAlignment="1">
      <alignment vertical="top" wrapText="1"/>
      <protection/>
    </xf>
    <xf numFmtId="0" fontId="18" fillId="0" borderId="30" xfId="35" applyFont="1" applyBorder="1" applyAlignment="1">
      <alignment vertical="top" wrapText="1"/>
      <protection/>
    </xf>
    <xf numFmtId="0" fontId="18" fillId="0" borderId="2" xfId="35" applyFont="1" applyBorder="1" applyAlignment="1">
      <alignment horizontal="right" vertical="center" wrapText="1"/>
      <protection/>
    </xf>
    <xf numFmtId="200" fontId="18" fillId="0" borderId="29" xfId="35" applyNumberFormat="1" applyFont="1" applyBorder="1" applyAlignment="1">
      <alignment horizontal="center" vertical="center"/>
      <protection/>
    </xf>
    <xf numFmtId="200" fontId="18" fillId="0" borderId="0" xfId="35" applyNumberFormat="1" applyFont="1" applyBorder="1" applyAlignment="1">
      <alignment horizontal="center" vertical="center"/>
      <protection/>
    </xf>
    <xf numFmtId="0" fontId="18" fillId="0" borderId="13" xfId="35" applyFont="1" applyBorder="1" applyAlignment="1">
      <alignment vertical="center"/>
      <protection/>
    </xf>
    <xf numFmtId="200" fontId="18" fillId="0" borderId="12" xfId="35" applyNumberFormat="1" applyFont="1" applyBorder="1" applyAlignment="1">
      <alignment vertical="center"/>
      <protection/>
    </xf>
    <xf numFmtId="200" fontId="18" fillId="0" borderId="12" xfId="35" applyNumberFormat="1" applyFont="1" applyBorder="1" applyAlignment="1">
      <alignment horizontal="right" vertical="center"/>
      <protection/>
    </xf>
    <xf numFmtId="10" fontId="9" fillId="0" borderId="0" xfId="0" applyNumberFormat="1" applyFont="1" applyBorder="1" applyAlignment="1">
      <alignment horizontal="center"/>
    </xf>
    <xf numFmtId="205" fontId="18" fillId="0" borderId="0" xfId="0" applyNumberFormat="1" applyFont="1" applyAlignment="1" quotePrefix="1">
      <alignment horizontal="left" vertical="center"/>
    </xf>
    <xf numFmtId="190" fontId="14" fillId="0" borderId="14" xfId="0" applyNumberFormat="1" applyFont="1" applyBorder="1" applyAlignment="1">
      <alignment horizontal="center" vertical="center" wrapText="1"/>
    </xf>
    <xf numFmtId="205" fontId="18" fillId="0" borderId="0" xfId="35" applyNumberFormat="1" applyFont="1" applyBorder="1" applyAlignment="1">
      <alignment horizontal="left" vertical="center"/>
      <protection/>
    </xf>
    <xf numFmtId="49" fontId="18" fillId="0" borderId="0" xfId="0" applyNumberFormat="1" applyFont="1" applyBorder="1" applyAlignment="1">
      <alignment horizontal="center" vertical="top"/>
    </xf>
    <xf numFmtId="0" fontId="0" fillId="0" borderId="0" xfId="34" applyFont="1" applyAlignment="1">
      <alignment horizontal="center"/>
      <protection/>
    </xf>
    <xf numFmtId="3" fontId="4" fillId="0" borderId="13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190" fontId="11" fillId="0" borderId="12" xfId="0" applyNumberFormat="1" applyFont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41" fontId="0" fillId="0" borderId="0" xfId="0" applyNumberFormat="1" applyFill="1" applyAlignment="1">
      <alignment/>
    </xf>
    <xf numFmtId="41" fontId="18" fillId="0" borderId="13" xfId="0" applyNumberFormat="1" applyFont="1" applyBorder="1" applyAlignment="1">
      <alignment horizontal="center" vertical="center" wrapText="1"/>
    </xf>
    <xf numFmtId="190" fontId="9" fillId="0" borderId="0" xfId="0" applyNumberFormat="1" applyFont="1" applyBorder="1" applyAlignment="1">
      <alignment horizontal="center" vertical="center"/>
    </xf>
    <xf numFmtId="209" fontId="9" fillId="0" borderId="0" xfId="0" applyNumberFormat="1" applyFont="1" applyBorder="1" applyAlignment="1">
      <alignment horizontal="center"/>
    </xf>
    <xf numFmtId="209" fontId="9" fillId="0" borderId="0" xfId="0" applyNumberFormat="1" applyFont="1" applyBorder="1" applyAlignment="1">
      <alignment horizontal="center" vertical="top"/>
    </xf>
    <xf numFmtId="190" fontId="9" fillId="0" borderId="29" xfId="0" applyNumberFormat="1" applyFont="1" applyBorder="1" applyAlignment="1">
      <alignment horizontal="center" vertical="center"/>
    </xf>
    <xf numFmtId="209" fontId="9" fillId="0" borderId="0" xfId="0" applyNumberFormat="1" applyFont="1" applyBorder="1" applyAlignment="1">
      <alignment horizontal="center" vertical="center"/>
    </xf>
    <xf numFmtId="211" fontId="9" fillId="0" borderId="0" xfId="0" applyNumberFormat="1" applyFont="1" applyBorder="1" applyAlignment="1">
      <alignment horizontal="center" vertical="center"/>
    </xf>
    <xf numFmtId="208" fontId="9" fillId="0" borderId="0" xfId="0" applyNumberFormat="1" applyFont="1" applyBorder="1" applyAlignment="1">
      <alignment horizontal="center"/>
    </xf>
    <xf numFmtId="208" fontId="9" fillId="0" borderId="0" xfId="0" applyNumberFormat="1" applyFont="1" applyBorder="1" applyAlignment="1">
      <alignment horizontal="center" vertical="top"/>
    </xf>
    <xf numFmtId="190" fontId="9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210" fontId="9" fillId="0" borderId="0" xfId="0" applyNumberFormat="1" applyFont="1" applyBorder="1" applyAlignment="1">
      <alignment horizontal="center" vertical="center"/>
    </xf>
    <xf numFmtId="210" fontId="9" fillId="0" borderId="0" xfId="0" applyNumberFormat="1" applyFont="1" applyBorder="1" applyAlignment="1">
      <alignment horizontal="center" vertical="top"/>
    </xf>
    <xf numFmtId="190" fontId="0" fillId="0" borderId="12" xfId="0" applyNumberFormat="1" applyBorder="1" applyAlignment="1">
      <alignment horizontal="center"/>
    </xf>
    <xf numFmtId="41" fontId="11" fillId="0" borderId="12" xfId="0" applyNumberFormat="1" applyFont="1" applyBorder="1" applyAlignment="1" quotePrefix="1">
      <alignment horizontal="center" vertical="center"/>
    </xf>
    <xf numFmtId="41" fontId="11" fillId="0" borderId="0" xfId="0" applyNumberFormat="1" applyFont="1" applyFill="1" applyAlignment="1">
      <alignment horizontal="center" vertical="center"/>
    </xf>
    <xf numFmtId="41" fontId="11" fillId="33" borderId="0" xfId="0" applyNumberFormat="1" applyFont="1" applyFill="1" applyBorder="1" applyAlignment="1" quotePrefix="1">
      <alignment horizontal="center" vertical="center"/>
    </xf>
    <xf numFmtId="41" fontId="11" fillId="0" borderId="0" xfId="0" applyNumberFormat="1" applyFont="1" applyFill="1" applyAlignment="1">
      <alignment horizontal="left" vertical="center" indent="1"/>
    </xf>
    <xf numFmtId="0" fontId="3" fillId="0" borderId="2" xfId="35" applyFont="1" applyBorder="1" applyAlignment="1">
      <alignment horizontal="center" vertical="center" wrapText="1"/>
      <protection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19" xfId="35" applyFont="1" applyBorder="1" applyAlignment="1">
      <alignment horizontal="centerContinuous" vertical="center" wrapText="1"/>
      <protection/>
    </xf>
    <xf numFmtId="0" fontId="18" fillId="0" borderId="21" xfId="35" applyFont="1" applyBorder="1" applyAlignment="1">
      <alignment horizontal="centerContinuous" vertical="center" wrapText="1"/>
      <protection/>
    </xf>
    <xf numFmtId="0" fontId="3" fillId="0" borderId="13" xfId="35" applyFont="1" applyBorder="1" applyAlignment="1">
      <alignment horizontal="center" vertical="center" wrapText="1"/>
      <protection/>
    </xf>
    <xf numFmtId="0" fontId="3" fillId="0" borderId="14" xfId="35" applyFont="1" applyBorder="1" applyAlignment="1">
      <alignment horizontal="center" vertical="center" wrapText="1"/>
      <protection/>
    </xf>
    <xf numFmtId="0" fontId="3" fillId="0" borderId="14" xfId="35" applyFont="1" applyBorder="1" applyAlignment="1">
      <alignment horizontal="center" vertical="top" wrapText="1"/>
      <protection/>
    </xf>
    <xf numFmtId="0" fontId="14" fillId="0" borderId="14" xfId="35" applyFont="1" applyBorder="1" applyAlignment="1">
      <alignment horizontal="center" vertical="top" wrapText="1"/>
      <protection/>
    </xf>
    <xf numFmtId="0" fontId="3" fillId="0" borderId="11" xfId="35" applyFont="1" applyBorder="1" applyAlignment="1">
      <alignment horizontal="center" vertical="top" wrapText="1"/>
      <protection/>
    </xf>
    <xf numFmtId="0" fontId="18" fillId="0" borderId="20" xfId="35" applyFont="1" applyBorder="1" applyAlignment="1">
      <alignment horizontal="centerContinuous" vertical="center" wrapText="1"/>
      <protection/>
    </xf>
    <xf numFmtId="0" fontId="3" fillId="0" borderId="13" xfId="35" applyFont="1" applyBorder="1" applyAlignment="1">
      <alignment horizontal="center" vertical="top" wrapText="1"/>
      <protection/>
    </xf>
    <xf numFmtId="190" fontId="3" fillId="0" borderId="0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1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Continuous" vertical="center" wrapText="1"/>
    </xf>
    <xf numFmtId="41" fontId="14" fillId="0" borderId="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1" fontId="11" fillId="33" borderId="0" xfId="0" applyNumberFormat="1" applyFont="1" applyFill="1" applyBorder="1" applyAlignment="1" quotePrefix="1">
      <alignment horizontal="center" vertical="center" shrinkToFit="1"/>
    </xf>
    <xf numFmtId="0" fontId="18" fillId="0" borderId="27" xfId="0" applyFont="1" applyBorder="1" applyAlignment="1">
      <alignment horizontal="center" vertical="center" wrapText="1"/>
    </xf>
    <xf numFmtId="41" fontId="11" fillId="0" borderId="0" xfId="0" applyNumberFormat="1" applyFont="1" applyFill="1" applyAlignment="1">
      <alignment horizontal="center" vertical="center" shrinkToFit="1"/>
    </xf>
    <xf numFmtId="41" fontId="11" fillId="33" borderId="0" xfId="0" applyNumberFormat="1" applyFont="1" applyFill="1" applyAlignment="1">
      <alignment horizontal="center" vertical="center" shrinkToFit="1"/>
    </xf>
    <xf numFmtId="41" fontId="9" fillId="33" borderId="0" xfId="0" applyNumberFormat="1" applyFont="1" applyFill="1" applyAlignment="1">
      <alignment horizontal="center" vertical="center" shrinkToFit="1"/>
    </xf>
    <xf numFmtId="41" fontId="2" fillId="0" borderId="0" xfId="0" applyNumberFormat="1" applyFont="1" applyBorder="1" applyAlignment="1">
      <alignment horizontal="center" vertical="center" shrinkToFit="1"/>
    </xf>
    <xf numFmtId="41" fontId="0" fillId="0" borderId="0" xfId="0" applyNumberFormat="1" applyAlignment="1">
      <alignment shrinkToFit="1"/>
    </xf>
    <xf numFmtId="41" fontId="11" fillId="0" borderId="0" xfId="0" applyNumberFormat="1" applyFont="1" applyFill="1" applyBorder="1" applyAlignment="1">
      <alignment horizontal="center" vertical="center" shrinkToFit="1"/>
    </xf>
    <xf numFmtId="38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8" fontId="2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38" fontId="3" fillId="0" borderId="0" xfId="0" applyNumberFormat="1" applyFont="1" applyFill="1" applyAlignment="1">
      <alignment/>
    </xf>
    <xf numFmtId="38" fontId="4" fillId="0" borderId="0" xfId="34" applyNumberFormat="1" applyFont="1" applyAlignment="1">
      <alignment/>
      <protection/>
    </xf>
    <xf numFmtId="38" fontId="4" fillId="0" borderId="0" xfId="34" applyNumberFormat="1" applyFont="1" applyAlignment="1">
      <alignment vertical="top"/>
      <protection/>
    </xf>
    <xf numFmtId="190" fontId="18" fillId="0" borderId="2" xfId="0" applyNumberFormat="1" applyFont="1" applyBorder="1" applyAlignment="1">
      <alignment horizontal="left" wrapText="1"/>
    </xf>
    <xf numFmtId="190" fontId="18" fillId="0" borderId="2" xfId="0" applyNumberFormat="1" applyFont="1" applyBorder="1" applyAlignment="1">
      <alignment horizontal="left" vertical="top" wrapText="1"/>
    </xf>
    <xf numFmtId="41" fontId="4" fillId="0" borderId="0" xfId="0" applyNumberFormat="1" applyFont="1" applyAlignment="1" quotePrefix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 quotePrefix="1">
      <alignment horizontal="centerContinuous"/>
    </xf>
    <xf numFmtId="41" fontId="1" fillId="0" borderId="0" xfId="0" applyNumberFormat="1" applyFont="1" applyAlignment="1">
      <alignment horizontal="centerContinuous"/>
    </xf>
    <xf numFmtId="0" fontId="0" fillId="34" borderId="0" xfId="0" applyFill="1" applyAlignment="1">
      <alignment/>
    </xf>
    <xf numFmtId="38" fontId="4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90" fontId="11" fillId="0" borderId="0" xfId="0" applyNumberFormat="1" applyFont="1" applyFill="1" applyBorder="1" applyAlignment="1">
      <alignment horizontal="right" vertical="center"/>
    </xf>
    <xf numFmtId="41" fontId="11" fillId="34" borderId="0" xfId="0" applyNumberFormat="1" applyFont="1" applyFill="1" applyBorder="1" applyAlignment="1" quotePrefix="1">
      <alignment horizontal="center" vertical="center"/>
    </xf>
    <xf numFmtId="41" fontId="11" fillId="34" borderId="0" xfId="0" applyNumberFormat="1" applyFont="1" applyFill="1" applyBorder="1" applyAlignment="1" quotePrefix="1">
      <alignment horizontal="center" vertical="center" shrinkToFit="1"/>
    </xf>
    <xf numFmtId="41" fontId="11" fillId="0" borderId="29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shrinkToFit="1"/>
    </xf>
    <xf numFmtId="41" fontId="11" fillId="0" borderId="29" xfId="0" applyNumberFormat="1" applyFont="1" applyFill="1" applyBorder="1" applyAlignment="1">
      <alignment horizontal="center" vertical="center" shrinkToFit="1"/>
    </xf>
    <xf numFmtId="190" fontId="11" fillId="0" borderId="0" xfId="0" applyNumberFormat="1" applyFont="1" applyFill="1" applyAlignment="1">
      <alignment horizontal="right" vertical="center" shrinkToFit="1"/>
    </xf>
    <xf numFmtId="190" fontId="9" fillId="0" borderId="0" xfId="0" applyNumberFormat="1" applyFont="1" applyFill="1" applyBorder="1" applyAlignment="1">
      <alignment horizontal="center" vertical="top"/>
    </xf>
    <xf numFmtId="0" fontId="3" fillId="0" borderId="2" xfId="35" applyFont="1" applyFill="1" applyBorder="1" applyAlignment="1">
      <alignment horizontal="center" vertical="center" wrapText="1"/>
      <protection/>
    </xf>
    <xf numFmtId="190" fontId="9" fillId="0" borderId="0" xfId="0" applyNumberFormat="1" applyFont="1" applyFill="1" applyBorder="1" applyAlignment="1">
      <alignment horizontal="center" vertical="center"/>
    </xf>
    <xf numFmtId="200" fontId="18" fillId="0" borderId="0" xfId="35" applyNumberFormat="1" applyFont="1" applyFill="1" applyBorder="1" applyAlignment="1">
      <alignment horizontal="center" vertical="center"/>
      <protection/>
    </xf>
    <xf numFmtId="0" fontId="18" fillId="0" borderId="0" xfId="35" applyFont="1" applyFill="1" applyBorder="1" applyAlignment="1">
      <alignment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3" fillId="0" borderId="0" xfId="34" applyBorder="1" applyAlignment="1">
      <alignment/>
      <protection/>
    </xf>
    <xf numFmtId="41" fontId="2" fillId="0" borderId="0" xfId="0" applyNumberFormat="1" applyFont="1" applyFill="1" applyAlignment="1">
      <alignment/>
    </xf>
    <xf numFmtId="0" fontId="18" fillId="0" borderId="20" xfId="0" applyNumberFormat="1" applyFont="1" applyFill="1" applyBorder="1" applyAlignment="1" quotePrefix="1">
      <alignment horizontal="center" vertical="center" wrapText="1"/>
    </xf>
    <xf numFmtId="41" fontId="3" fillId="0" borderId="13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/>
    </xf>
    <xf numFmtId="41" fontId="0" fillId="0" borderId="0" xfId="0" applyNumberFormat="1" applyFill="1" applyAlignment="1">
      <alignment horizontal="centerContinuous"/>
    </xf>
    <xf numFmtId="38" fontId="4" fillId="35" borderId="2" xfId="0" applyNumberFormat="1" applyFont="1" applyFill="1" applyBorder="1" applyAlignment="1">
      <alignment horizontal="center" vertical="center" shrinkToFit="1"/>
    </xf>
    <xf numFmtId="41" fontId="11" fillId="35" borderId="0" xfId="0" applyNumberFormat="1" applyFont="1" applyFill="1" applyBorder="1" applyAlignment="1" quotePrefix="1">
      <alignment horizontal="center" vertical="center"/>
    </xf>
    <xf numFmtId="183" fontId="3" fillId="35" borderId="0" xfId="0" applyNumberFormat="1" applyFont="1" applyFill="1" applyBorder="1" applyAlignment="1">
      <alignment horizontal="center" vertical="center"/>
    </xf>
    <xf numFmtId="3" fontId="0" fillId="35" borderId="0" xfId="0" applyNumberFormat="1" applyFill="1" applyBorder="1" applyAlignment="1">
      <alignment horizontal="left" vertical="center"/>
    </xf>
    <xf numFmtId="3" fontId="0" fillId="35" borderId="0" xfId="0" applyNumberFormat="1" applyFill="1" applyAlignment="1">
      <alignment vertical="center"/>
    </xf>
    <xf numFmtId="0" fontId="20" fillId="0" borderId="0" xfId="34" applyFont="1" applyAlignment="1">
      <alignment vertical="top" wrapText="1"/>
      <protection/>
    </xf>
    <xf numFmtId="0" fontId="13" fillId="0" borderId="0" xfId="34" applyFont="1" applyAlignment="1">
      <alignment horizontal="center"/>
      <protection/>
    </xf>
    <xf numFmtId="0" fontId="19" fillId="0" borderId="0" xfId="34" applyFont="1" applyAlignment="1">
      <alignment/>
      <protection/>
    </xf>
    <xf numFmtId="0" fontId="20" fillId="0" borderId="0" xfId="34" applyFont="1" applyFill="1" applyAlignment="1">
      <alignment vertical="top" wrapText="1"/>
      <protection/>
    </xf>
    <xf numFmtId="188" fontId="22" fillId="0" borderId="0" xfId="34" applyNumberFormat="1" applyFont="1" applyAlignment="1">
      <alignment horizontal="left" vertical="center"/>
      <protection/>
    </xf>
    <xf numFmtId="38" fontId="18" fillId="0" borderId="21" xfId="0" applyNumberFormat="1" applyFont="1" applyBorder="1" applyAlignment="1">
      <alignment horizontal="center" wrapText="1"/>
    </xf>
    <xf numFmtId="38" fontId="18" fillId="0" borderId="29" xfId="0" applyNumberFormat="1" applyFont="1" applyBorder="1" applyAlignment="1">
      <alignment horizontal="center" wrapText="1"/>
    </xf>
    <xf numFmtId="187" fontId="18" fillId="0" borderId="0" xfId="0" applyNumberFormat="1" applyFont="1" applyAlignment="1" quotePrefix="1">
      <alignment horizontal="right" vertical="center"/>
    </xf>
    <xf numFmtId="38" fontId="23" fillId="0" borderId="0" xfId="0" applyNumberFormat="1" applyFont="1" applyAlignment="1">
      <alignment horizontal="center" vertical="center"/>
    </xf>
    <xf numFmtId="38" fontId="23" fillId="0" borderId="0" xfId="0" applyNumberFormat="1" applyFont="1" applyBorder="1" applyAlignment="1">
      <alignment horizontal="center" vertical="center" shrinkToFit="1"/>
    </xf>
    <xf numFmtId="38" fontId="16" fillId="0" borderId="0" xfId="0" applyNumberFormat="1" applyFont="1" applyBorder="1" applyAlignment="1">
      <alignment horizontal="center" vertical="center"/>
    </xf>
    <xf numFmtId="38" fontId="18" fillId="0" borderId="31" xfId="0" applyNumberFormat="1" applyFont="1" applyBorder="1" applyAlignment="1">
      <alignment horizontal="center" vertical="center"/>
    </xf>
    <xf numFmtId="38" fontId="18" fillId="0" borderId="32" xfId="0" applyNumberFormat="1" applyFont="1" applyBorder="1" applyAlignment="1">
      <alignment horizontal="center" vertical="center"/>
    </xf>
    <xf numFmtId="38" fontId="18" fillId="0" borderId="33" xfId="0" applyNumberFormat="1" applyFont="1" applyBorder="1" applyAlignment="1">
      <alignment horizontal="center" vertical="center"/>
    </xf>
    <xf numFmtId="38" fontId="18" fillId="0" borderId="20" xfId="0" applyNumberFormat="1" applyFont="1" applyBorder="1" applyAlignment="1" quotePrefix="1">
      <alignment horizontal="center" vertical="center" wrapText="1"/>
    </xf>
    <xf numFmtId="38" fontId="3" fillId="0" borderId="2" xfId="0" applyNumberFormat="1" applyFont="1" applyBorder="1" applyAlignment="1" quotePrefix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18" fillId="0" borderId="12" xfId="0" applyNumberFormat="1" applyFont="1" applyBorder="1" applyAlignment="1">
      <alignment horizontal="right" vertical="center"/>
    </xf>
    <xf numFmtId="38" fontId="18" fillId="0" borderId="19" xfId="0" applyNumberFormat="1" applyFont="1" applyBorder="1" applyAlignment="1">
      <alignment horizontal="center" wrapText="1"/>
    </xf>
    <xf numFmtId="38" fontId="18" fillId="0" borderId="16" xfId="0" applyNumberFormat="1" applyFont="1" applyBorder="1" applyAlignment="1">
      <alignment horizontal="center" wrapText="1"/>
    </xf>
    <xf numFmtId="41" fontId="23" fillId="0" borderId="0" xfId="0" applyNumberFormat="1" applyFont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41" fontId="26" fillId="0" borderId="0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center" vertical="center" shrinkToFit="1"/>
    </xf>
    <xf numFmtId="41" fontId="23" fillId="0" borderId="0" xfId="0" applyNumberFormat="1" applyFont="1" applyBorder="1" applyAlignment="1">
      <alignment horizontal="center" vertical="center" shrinkToFit="1"/>
    </xf>
    <xf numFmtId="41" fontId="3" fillId="0" borderId="32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18" fillId="0" borderId="31" xfId="0" applyNumberFormat="1" applyFont="1" applyBorder="1" applyAlignment="1">
      <alignment horizontal="center" vertical="center"/>
    </xf>
    <xf numFmtId="41" fontId="18" fillId="0" borderId="32" xfId="0" applyNumberFormat="1" applyFont="1" applyBorder="1" applyAlignment="1">
      <alignment horizontal="center" vertical="center"/>
    </xf>
    <xf numFmtId="38" fontId="3" fillId="0" borderId="2" xfId="0" applyNumberFormat="1" applyFont="1" applyBorder="1" applyAlignment="1">
      <alignment horizontal="center" vertical="center" wrapText="1"/>
    </xf>
    <xf numFmtId="38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38" fontId="18" fillId="0" borderId="20" xfId="0" applyNumberFormat="1" applyFont="1" applyBorder="1" applyAlignment="1" quotePrefix="1">
      <alignment horizontal="center" wrapText="1"/>
    </xf>
    <xf numFmtId="38" fontId="3" fillId="0" borderId="2" xfId="0" applyNumberFormat="1" applyFont="1" applyBorder="1" applyAlignment="1" quotePrefix="1">
      <alignment horizontal="center" wrapText="1"/>
    </xf>
    <xf numFmtId="0" fontId="18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1" fontId="18" fillId="0" borderId="34" xfId="0" applyNumberFormat="1" applyFont="1" applyBorder="1" applyAlignment="1">
      <alignment horizontal="center" vertical="center" wrapText="1"/>
    </xf>
    <xf numFmtId="41" fontId="3" fillId="0" borderId="35" xfId="0" applyNumberFormat="1" applyFont="1" applyBorder="1" applyAlignment="1">
      <alignment horizontal="center" vertical="center"/>
    </xf>
    <xf numFmtId="41" fontId="18" fillId="0" borderId="35" xfId="0" applyNumberFormat="1" applyFont="1" applyBorder="1" applyAlignment="1">
      <alignment horizontal="center" vertical="center" wrapText="1"/>
    </xf>
    <xf numFmtId="41" fontId="3" fillId="0" borderId="24" xfId="0" applyNumberFormat="1" applyFont="1" applyBorder="1" applyAlignment="1">
      <alignment horizontal="center" vertical="center"/>
    </xf>
    <xf numFmtId="188" fontId="18" fillId="0" borderId="0" xfId="0" applyNumberFormat="1" applyFont="1" applyAlignment="1" quotePrefix="1">
      <alignment horizontal="left" vertical="center"/>
    </xf>
    <xf numFmtId="187" fontId="18" fillId="0" borderId="0" xfId="0" applyNumberFormat="1" applyFont="1" applyAlignment="1" quotePrefix="1">
      <alignment vertical="center"/>
    </xf>
    <xf numFmtId="41" fontId="6" fillId="0" borderId="32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vertical="center"/>
    </xf>
    <xf numFmtId="0" fontId="18" fillId="0" borderId="29" xfId="0" applyNumberFormat="1" applyFont="1" applyBorder="1" applyAlignment="1">
      <alignment horizontal="center" vertical="center"/>
    </xf>
    <xf numFmtId="41" fontId="18" fillId="0" borderId="35" xfId="0" applyNumberFormat="1" applyFont="1" applyBorder="1" applyAlignment="1">
      <alignment horizontal="center" vertical="center"/>
    </xf>
    <xf numFmtId="41" fontId="18" fillId="0" borderId="24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wrapText="1"/>
    </xf>
    <xf numFmtId="41" fontId="7" fillId="0" borderId="35" xfId="0" applyNumberFormat="1" applyFont="1" applyBorder="1" applyAlignment="1">
      <alignment horizontal="center" vertical="center"/>
    </xf>
    <xf numFmtId="0" fontId="18" fillId="0" borderId="36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90" fontId="16" fillId="0" borderId="0" xfId="0" applyNumberFormat="1" applyFont="1" applyAlignment="1">
      <alignment horizontal="center" vertical="center" shrinkToFit="1"/>
    </xf>
    <xf numFmtId="190" fontId="16" fillId="0" borderId="0" xfId="0" applyNumberFormat="1" applyFont="1" applyAlignment="1">
      <alignment horizontal="center" vertical="center"/>
    </xf>
    <xf numFmtId="190" fontId="3" fillId="0" borderId="13" xfId="0" applyNumberFormat="1" applyFont="1" applyBorder="1" applyAlignment="1">
      <alignment horizontal="center" vertical="center" wrapText="1"/>
    </xf>
    <xf numFmtId="190" fontId="3" fillId="0" borderId="14" xfId="0" applyNumberFormat="1" applyFont="1" applyBorder="1" applyAlignment="1">
      <alignment horizontal="center" vertical="center" wrapText="1"/>
    </xf>
    <xf numFmtId="190" fontId="18" fillId="0" borderId="28" xfId="0" applyNumberFormat="1" applyFont="1" applyBorder="1" applyAlignment="1">
      <alignment horizontal="center" vertical="center" wrapText="1"/>
    </xf>
    <xf numFmtId="190" fontId="3" fillId="0" borderId="20" xfId="0" applyNumberFormat="1" applyFont="1" applyBorder="1" applyAlignment="1">
      <alignment horizontal="center" vertical="center" wrapText="1"/>
    </xf>
    <xf numFmtId="190" fontId="23" fillId="0" borderId="0" xfId="0" applyNumberFormat="1" applyFont="1" applyAlignment="1">
      <alignment horizontal="center" vertical="center"/>
    </xf>
    <xf numFmtId="41" fontId="23" fillId="0" borderId="0" xfId="0" applyNumberFormat="1" applyFont="1" applyAlignment="1" quotePrefix="1">
      <alignment horizontal="center" vertical="center"/>
    </xf>
    <xf numFmtId="0" fontId="16" fillId="0" borderId="0" xfId="0" applyNumberFormat="1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190" fontId="3" fillId="0" borderId="12" xfId="0" applyNumberFormat="1" applyFont="1" applyBorder="1" applyAlignment="1">
      <alignment horizontal="center" vertical="center" wrapText="1"/>
    </xf>
    <xf numFmtId="190" fontId="23" fillId="0" borderId="0" xfId="0" applyNumberFormat="1" applyFont="1" applyBorder="1" applyAlignment="1">
      <alignment horizontal="center"/>
    </xf>
    <xf numFmtId="190" fontId="16" fillId="0" borderId="0" xfId="0" applyNumberFormat="1" applyFont="1" applyAlignment="1">
      <alignment horizontal="center"/>
    </xf>
    <xf numFmtId="190" fontId="18" fillId="0" borderId="20" xfId="0" applyNumberFormat="1" applyFont="1" applyBorder="1" applyAlignment="1">
      <alignment horizontal="center" vertical="center" wrapText="1"/>
    </xf>
    <xf numFmtId="190" fontId="16" fillId="0" borderId="0" xfId="0" applyNumberFormat="1" applyFont="1" applyBorder="1" applyAlignment="1">
      <alignment horizontal="center"/>
    </xf>
    <xf numFmtId="41" fontId="25" fillId="0" borderId="0" xfId="0" applyNumberFormat="1" applyFont="1" applyBorder="1" applyAlignment="1">
      <alignment horizontal="center" shrinkToFit="1"/>
    </xf>
    <xf numFmtId="41" fontId="16" fillId="0" borderId="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1" fontId="23" fillId="0" borderId="0" xfId="0" applyNumberFormat="1" applyFont="1" applyBorder="1" applyAlignment="1">
      <alignment horizontal="center"/>
    </xf>
    <xf numFmtId="41" fontId="16" fillId="0" borderId="0" xfId="0" applyNumberFormat="1" applyFont="1" applyBorder="1" applyAlignment="1">
      <alignment horizontal="center" shrinkToFit="1"/>
    </xf>
    <xf numFmtId="41" fontId="7" fillId="0" borderId="0" xfId="0" applyNumberFormat="1" applyFont="1" applyBorder="1" applyAlignment="1">
      <alignment horizontal="center" shrinkToFit="1"/>
    </xf>
    <xf numFmtId="41" fontId="16" fillId="0" borderId="0" xfId="0" applyNumberFormat="1" applyFont="1" applyAlignment="1">
      <alignment horizontal="center"/>
    </xf>
    <xf numFmtId="41" fontId="0" fillId="0" borderId="0" xfId="0" applyNumberFormat="1" applyFont="1" applyBorder="1" applyAlignment="1">
      <alignment horizontal="center"/>
    </xf>
    <xf numFmtId="0" fontId="18" fillId="0" borderId="28" xfId="35" applyFont="1" applyBorder="1" applyAlignment="1">
      <alignment vertical="top" wrapText="1"/>
      <protection/>
    </xf>
    <xf numFmtId="187" fontId="18" fillId="0" borderId="0" xfId="35" applyNumberFormat="1" applyFont="1" applyBorder="1" applyAlignment="1">
      <alignment horizontal="right" vertical="center"/>
      <protection/>
    </xf>
    <xf numFmtId="0" fontId="23" fillId="0" borderId="0" xfId="35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一般_1土地91" xfId="34"/>
    <cellStyle name="一般_6-1金融機構分佈1(1)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年資料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"/>
          <c:y val="0.50225"/>
          <c:w val="0.3125"/>
          <c:h val="0.33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稅課收入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78.89%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補助及協助收入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17.54%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其他收入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1.16%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'提要'!$H$10:$M$10</c:f>
              <c:strCache/>
            </c:strRef>
          </c:cat>
          <c:val>
            <c:numRef>
              <c:f>'提要'!$H$11:$M$11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25"/>
          <c:y val="0.1705"/>
          <c:w val="0.17875"/>
          <c:h val="0.5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東河鄉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99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年度歲出總預算</a:t>
            </a:r>
          </a:p>
        </c:rich>
      </c:tx>
      <c:layout>
        <c:manualLayout>
          <c:xMode val="factor"/>
          <c:yMode val="factor"/>
          <c:x val="0.0095"/>
          <c:y val="-0.01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25"/>
          <c:y val="0.47975"/>
          <c:w val="0.28025"/>
          <c:h val="0.16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一般政務支出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58.60%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教育科學文化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支出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1.88%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社區發展及環境保護支出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9.18%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'提要'!$H$20:$O$20</c:f>
              <c:strCache/>
            </c:strRef>
          </c:cat>
          <c:val>
            <c:numRef>
              <c:f>'提要'!$H$21:$O$21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東河鄉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99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年度稅課收入</a:t>
            </a:r>
          </a:p>
        </c:rich>
      </c:tx>
      <c:layout>
        <c:manualLayout>
          <c:xMode val="factor"/>
          <c:yMode val="factor"/>
          <c:x val="-0.04475"/>
          <c:y val="0.007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75"/>
          <c:y val="0.45975"/>
          <c:w val="0.44575"/>
          <c:h val="0.375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'提要'!$H$29:$N$29</c:f>
              <c:strCache/>
            </c:strRef>
          </c:cat>
          <c:val>
            <c:numRef>
              <c:f>'提要'!$H$30:$N$30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年度歲出總預算</a:t>
            </a:r>
          </a:p>
        </c:rich>
      </c:tx>
      <c:layout>
        <c:manualLayout>
          <c:xMode val="factor"/>
          <c:yMode val="factor"/>
          <c:x val="0.02025"/>
          <c:y val="0.01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42525"/>
          <c:w val="0.38"/>
          <c:h val="0.277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一般政務支出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46.39%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教育科學文化支出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5.35%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經濟發展支出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19.72%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社會福利支出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4.26%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社區發展及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環境保護支出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8.03%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退休撫卹支出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4.64%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其他支出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'提要'!$H$20:$O$20</c:f>
              <c:strCache/>
            </c:strRef>
          </c:cat>
          <c:val>
            <c:numRef>
              <c:f>'提要'!$H$21:$O$21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年度稅課收入</a:t>
            </a:r>
          </a:p>
        </c:rich>
      </c:tx>
      <c:layout>
        <c:manualLayout>
          <c:xMode val="factor"/>
          <c:yMode val="factor"/>
          <c:x val="-0.0225"/>
          <c:y val="0.01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75"/>
          <c:y val="0.456"/>
          <c:w val="0.4475"/>
          <c:h val="0.37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房屋稅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1.65%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契稅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0.58%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娛樂稅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0.03%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遺產及贈與稅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0.07%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地價稅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0.93%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統籌分配稅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96.73%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中央統籌分配稅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91.53%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'提要'!$H$29:$M$29</c:f>
              <c:strCache/>
            </c:strRef>
          </c:cat>
          <c:val>
            <c:numRef>
              <c:f>'提要'!$H$30:$M$30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8375"/>
          <c:w val="0.931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A6CAF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215,408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'提要'!$G$2:$I$2</c:f>
              <c:strCache/>
            </c:strRef>
          </c:cat>
          <c:val>
            <c:numRef>
              <c:f>'提要'!$G$3:$I$3</c:f>
              <c:numCache/>
            </c:numRef>
          </c:val>
        </c:ser>
        <c:axId val="23761422"/>
        <c:axId val="12526207"/>
      </c:barChart>
      <c:catAx>
        <c:axId val="23761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26207"/>
        <c:crosses val="autoZero"/>
        <c:auto val="1"/>
        <c:lblOffset val="100"/>
        <c:tickLblSkip val="1"/>
        <c:noMultiLvlLbl val="0"/>
      </c:catAx>
      <c:valAx>
        <c:axId val="12526207"/>
        <c:scaling>
          <c:orientation val="minMax"/>
          <c:max val="35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761422"/>
        <c:crossesAt val="1"/>
        <c:crossBetween val="between"/>
        <c:dispUnits>
          <c:builtInUnit val="thousands"/>
        </c:dispUnits>
        <c:majorUnit val="50000000"/>
        <c:min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0.5795</cdr:x>
      <cdr:y>-0.0015</cdr:y>
    </cdr:from>
    <cdr:to>
      <cdr:x>0.813</cdr:x>
      <cdr:y>0.1105</cdr:y>
    </cdr:to>
    <cdr:sp>
      <cdr:nvSpPr>
        <cdr:cNvPr id="1" name="Text Box 1"/>
        <cdr:cNvSpPr txBox="1">
          <a:spLocks noChangeArrowheads="1"/>
        </cdr:cNvSpPr>
      </cdr:nvSpPr>
      <cdr:spPr>
        <a:xfrm>
          <a:off x="2828925" y="0"/>
          <a:ext cx="1143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東河鄉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年度公庫收支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47625</xdr:rowOff>
    </xdr:from>
    <xdr:to>
      <xdr:col>4</xdr:col>
      <xdr:colOff>1562100</xdr:colOff>
      <xdr:row>15</xdr:row>
      <xdr:rowOff>152400</xdr:rowOff>
    </xdr:to>
    <xdr:graphicFrame>
      <xdr:nvGraphicFramePr>
        <xdr:cNvPr id="1" name="Chart 14"/>
        <xdr:cNvGraphicFramePr/>
      </xdr:nvGraphicFramePr>
      <xdr:xfrm>
        <a:off x="504825" y="6715125"/>
        <a:ext cx="56292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19</xdr:row>
      <xdr:rowOff>38100</xdr:rowOff>
    </xdr:from>
    <xdr:to>
      <xdr:col>4</xdr:col>
      <xdr:colOff>1543050</xdr:colOff>
      <xdr:row>26</xdr:row>
      <xdr:rowOff>485775</xdr:rowOff>
    </xdr:to>
    <xdr:graphicFrame>
      <xdr:nvGraphicFramePr>
        <xdr:cNvPr id="2" name="Chart 4"/>
        <xdr:cNvGraphicFramePr/>
      </xdr:nvGraphicFramePr>
      <xdr:xfrm>
        <a:off x="1076325" y="11420475"/>
        <a:ext cx="50387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29</xdr:row>
      <xdr:rowOff>47625</xdr:rowOff>
    </xdr:from>
    <xdr:to>
      <xdr:col>4</xdr:col>
      <xdr:colOff>1752600</xdr:colOff>
      <xdr:row>47</xdr:row>
      <xdr:rowOff>0</xdr:rowOff>
    </xdr:to>
    <xdr:graphicFrame>
      <xdr:nvGraphicFramePr>
        <xdr:cNvPr id="3" name="Chart 6"/>
        <xdr:cNvGraphicFramePr/>
      </xdr:nvGraphicFramePr>
      <xdr:xfrm>
        <a:off x="704850" y="15849600"/>
        <a:ext cx="56197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95250</xdr:colOff>
      <xdr:row>19</xdr:row>
      <xdr:rowOff>38100</xdr:rowOff>
    </xdr:from>
    <xdr:to>
      <xdr:col>4</xdr:col>
      <xdr:colOff>1733550</xdr:colOff>
      <xdr:row>26</xdr:row>
      <xdr:rowOff>238125</xdr:rowOff>
    </xdr:to>
    <xdr:graphicFrame>
      <xdr:nvGraphicFramePr>
        <xdr:cNvPr id="4" name="Chart 8"/>
        <xdr:cNvGraphicFramePr/>
      </xdr:nvGraphicFramePr>
      <xdr:xfrm>
        <a:off x="581025" y="11420475"/>
        <a:ext cx="572452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228600</xdr:colOff>
      <xdr:row>28</xdr:row>
      <xdr:rowOff>38100</xdr:rowOff>
    </xdr:from>
    <xdr:to>
      <xdr:col>4</xdr:col>
      <xdr:colOff>1762125</xdr:colOff>
      <xdr:row>45</xdr:row>
      <xdr:rowOff>142875</xdr:rowOff>
    </xdr:to>
    <xdr:graphicFrame>
      <xdr:nvGraphicFramePr>
        <xdr:cNvPr id="5" name="Chart 10"/>
        <xdr:cNvGraphicFramePr/>
      </xdr:nvGraphicFramePr>
      <xdr:xfrm>
        <a:off x="714375" y="15687675"/>
        <a:ext cx="56197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390525</xdr:colOff>
      <xdr:row>5</xdr:row>
      <xdr:rowOff>76200</xdr:rowOff>
    </xdr:from>
    <xdr:to>
      <xdr:col>4</xdr:col>
      <xdr:colOff>1200150</xdr:colOff>
      <xdr:row>6</xdr:row>
      <xdr:rowOff>314325</xdr:rowOff>
    </xdr:to>
    <xdr:graphicFrame>
      <xdr:nvGraphicFramePr>
        <xdr:cNvPr id="6" name="Chart 12"/>
        <xdr:cNvGraphicFramePr/>
      </xdr:nvGraphicFramePr>
      <xdr:xfrm>
        <a:off x="876300" y="2905125"/>
        <a:ext cx="4895850" cy="1876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285750</xdr:colOff>
      <xdr:row>5</xdr:row>
      <xdr:rowOff>200025</xdr:rowOff>
    </xdr:from>
    <xdr:to>
      <xdr:col>2</xdr:col>
      <xdr:colOff>628650</xdr:colOff>
      <xdr:row>5</xdr:row>
      <xdr:rowOff>390525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1219200" y="302895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千元</a:t>
          </a:r>
        </a:p>
      </xdr:txBody>
    </xdr:sp>
    <xdr:clientData/>
  </xdr:twoCellAnchor>
  <xdr:twoCellAnchor>
    <xdr:from>
      <xdr:col>2</xdr:col>
      <xdr:colOff>1095375</xdr:colOff>
      <xdr:row>9</xdr:row>
      <xdr:rowOff>85725</xdr:rowOff>
    </xdr:from>
    <xdr:to>
      <xdr:col>3</xdr:col>
      <xdr:colOff>1533525</xdr:colOff>
      <xdr:row>10</xdr:row>
      <xdr:rowOff>76200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2028825" y="6753225"/>
          <a:ext cx="2257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東河鄉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年度歲入總預算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PageLayoutView="0" workbookViewId="0" topLeftCell="B28">
      <selection activeCell="H10" sqref="H10"/>
    </sheetView>
  </sheetViews>
  <sheetFormatPr defaultColWidth="7.00390625" defaultRowHeight="16.5"/>
  <cols>
    <col min="1" max="1" width="6.375" style="78" customWidth="1"/>
    <col min="2" max="2" width="5.875" style="78" customWidth="1"/>
    <col min="3" max="5" width="23.875" style="78" customWidth="1"/>
    <col min="6" max="6" width="7.00390625" style="37" customWidth="1"/>
    <col min="7" max="8" width="11.50390625" style="37" bestFit="1" customWidth="1"/>
    <col min="9" max="9" width="13.375" style="37" bestFit="1" customWidth="1"/>
    <col min="10" max="10" width="7.375" style="37" bestFit="1" customWidth="1"/>
    <col min="11" max="13" width="10.50390625" style="37" bestFit="1" customWidth="1"/>
    <col min="14" max="14" width="12.25390625" style="37" bestFit="1" customWidth="1"/>
    <col min="15" max="16384" width="7.00390625" style="37" customWidth="1"/>
  </cols>
  <sheetData>
    <row r="1" ht="12">
      <c r="E1" s="101">
        <v>85</v>
      </c>
    </row>
    <row r="2" spans="1:9" ht="67.5">
      <c r="A2" s="349" t="s">
        <v>51</v>
      </c>
      <c r="B2" s="349"/>
      <c r="C2" s="349"/>
      <c r="D2" s="349"/>
      <c r="E2" s="349"/>
      <c r="F2" s="161" t="s">
        <v>303</v>
      </c>
      <c r="G2" s="163" t="s">
        <v>389</v>
      </c>
      <c r="H2" s="163" t="s">
        <v>390</v>
      </c>
      <c r="I2" s="164" t="s">
        <v>304</v>
      </c>
    </row>
    <row r="3" spans="1:9" ht="19.5" customHeight="1">
      <c r="A3" s="245"/>
      <c r="B3" s="245"/>
      <c r="C3" s="245"/>
      <c r="D3" s="245"/>
      <c r="E3" s="245"/>
      <c r="F3" s="38">
        <v>107</v>
      </c>
      <c r="G3" s="308">
        <v>215408000</v>
      </c>
      <c r="H3" s="308">
        <v>202244000</v>
      </c>
      <c r="I3" s="308">
        <v>138329000</v>
      </c>
    </row>
    <row r="4" spans="1:9" s="38" customFormat="1" ht="24.75" customHeight="1">
      <c r="A4" s="350" t="s">
        <v>305</v>
      </c>
      <c r="B4" s="350"/>
      <c r="C4" s="350"/>
      <c r="D4" s="350"/>
      <c r="E4" s="350"/>
      <c r="F4" s="38">
        <v>106</v>
      </c>
      <c r="G4" s="308">
        <v>223882000</v>
      </c>
      <c r="H4" s="308">
        <v>210602000</v>
      </c>
      <c r="I4" s="308">
        <v>125704000</v>
      </c>
    </row>
    <row r="5" spans="1:9" s="38" customFormat="1" ht="99" customHeight="1">
      <c r="A5" s="102"/>
      <c r="B5" s="348" t="s">
        <v>418</v>
      </c>
      <c r="C5" s="348"/>
      <c r="D5" s="348"/>
      <c r="E5" s="348"/>
      <c r="F5" s="162" t="s">
        <v>256</v>
      </c>
      <c r="G5" s="309">
        <f>G3-G4</f>
        <v>-8474000</v>
      </c>
      <c r="H5" s="309">
        <f>H3-H4</f>
        <v>-8358000</v>
      </c>
      <c r="I5" s="309">
        <f>I3-I4</f>
        <v>12625000</v>
      </c>
    </row>
    <row r="6" spans="1:12" s="38" customFormat="1" ht="129" customHeight="1">
      <c r="A6" s="104"/>
      <c r="B6" s="105"/>
      <c r="C6" s="105"/>
      <c r="D6" s="105"/>
      <c r="E6" s="105"/>
      <c r="F6" s="68"/>
      <c r="G6" s="170">
        <f>G5/G4</f>
        <v>-0.0378502961381442</v>
      </c>
      <c r="H6" s="170">
        <f>H5/H4</f>
        <v>-0.03968623279930865</v>
      </c>
      <c r="I6" s="170">
        <f>I5/I4</f>
        <v>0.10043435371984981</v>
      </c>
      <c r="L6" s="334"/>
    </row>
    <row r="7" spans="1:9" s="38" customFormat="1" ht="27.75" customHeight="1">
      <c r="A7" s="104"/>
      <c r="B7" s="105"/>
      <c r="C7" s="105"/>
      <c r="D7" s="105"/>
      <c r="E7" s="105"/>
      <c r="F7" s="68"/>
      <c r="G7" s="75"/>
      <c r="H7" s="75"/>
      <c r="I7" s="75"/>
    </row>
    <row r="8" spans="1:5" s="38" customFormat="1" ht="24.75" customHeight="1">
      <c r="A8" s="350" t="s">
        <v>306</v>
      </c>
      <c r="B8" s="350"/>
      <c r="C8" s="350"/>
      <c r="D8" s="350"/>
      <c r="E8" s="350"/>
    </row>
    <row r="9" spans="1:5" s="38" customFormat="1" ht="120.75" customHeight="1">
      <c r="A9" s="102"/>
      <c r="B9" s="106" t="s">
        <v>307</v>
      </c>
      <c r="C9" s="348" t="s">
        <v>419</v>
      </c>
      <c r="D9" s="348"/>
      <c r="E9" s="348"/>
    </row>
    <row r="10" spans="1:13" s="38" customFormat="1" ht="22.5" customHeight="1">
      <c r="A10" s="102"/>
      <c r="B10" s="106"/>
      <c r="C10" s="103"/>
      <c r="D10" s="103"/>
      <c r="E10" s="103"/>
      <c r="G10" s="69" t="s">
        <v>1</v>
      </c>
      <c r="H10" s="69" t="s">
        <v>2</v>
      </c>
      <c r="I10" s="69" t="s">
        <v>3</v>
      </c>
      <c r="J10" s="69" t="s">
        <v>4</v>
      </c>
      <c r="K10" s="69" t="s">
        <v>5</v>
      </c>
      <c r="L10" s="70" t="s">
        <v>352</v>
      </c>
      <c r="M10" s="69" t="s">
        <v>6</v>
      </c>
    </row>
    <row r="11" spans="1:13" s="38" customFormat="1" ht="27.75" customHeight="1">
      <c r="A11" s="102"/>
      <c r="B11" s="106"/>
      <c r="C11" s="103"/>
      <c r="D11" s="103"/>
      <c r="E11" s="103"/>
      <c r="G11" s="34">
        <v>145240</v>
      </c>
      <c r="H11" s="34">
        <v>114585</v>
      </c>
      <c r="I11" s="32">
        <v>10</v>
      </c>
      <c r="J11" s="32">
        <v>2977</v>
      </c>
      <c r="K11" s="32">
        <v>498</v>
      </c>
      <c r="L11" s="32">
        <v>25491</v>
      </c>
      <c r="M11" s="32">
        <v>1679</v>
      </c>
    </row>
    <row r="12" spans="1:13" s="38" customFormat="1" ht="27.75" customHeight="1">
      <c r="A12" s="102"/>
      <c r="B12" s="106"/>
      <c r="C12" s="103"/>
      <c r="D12" s="103"/>
      <c r="E12" s="103"/>
      <c r="G12" s="165">
        <f>SUM(H12:M12)</f>
        <v>0.9999</v>
      </c>
      <c r="H12" s="165">
        <f>ROUND(H11/$G$11,4)</f>
        <v>0.7889</v>
      </c>
      <c r="I12" s="165">
        <f>ROUND(I11/$G$11,4)</f>
        <v>0.0001</v>
      </c>
      <c r="J12" s="165">
        <f>ROUND(J11/$G$11,4)</f>
        <v>0.0205</v>
      </c>
      <c r="K12" s="165">
        <f>ROUND(K11/$G$11,4)</f>
        <v>0.0034</v>
      </c>
      <c r="L12" s="165">
        <f>ROUND(L11/$G$11,4)-0.0001</f>
        <v>0.1754</v>
      </c>
      <c r="M12" s="165">
        <f>ROUND(M11/$G$11,4)</f>
        <v>0.0116</v>
      </c>
    </row>
    <row r="13" spans="1:13" s="38" customFormat="1" ht="27.75" customHeight="1">
      <c r="A13" s="102"/>
      <c r="B13" s="106"/>
      <c r="C13" s="103"/>
      <c r="D13" s="103"/>
      <c r="E13" s="103"/>
      <c r="G13" s="34"/>
      <c r="H13" s="34"/>
      <c r="I13" s="32"/>
      <c r="J13" s="32"/>
      <c r="K13" s="32"/>
      <c r="L13" s="32"/>
      <c r="M13" s="32"/>
    </row>
    <row r="14" spans="1:13" s="38" customFormat="1" ht="27.75" customHeight="1">
      <c r="A14" s="102"/>
      <c r="B14" s="106"/>
      <c r="C14" s="103"/>
      <c r="D14" s="103"/>
      <c r="E14" s="103"/>
      <c r="G14" s="34"/>
      <c r="H14" s="34"/>
      <c r="I14" s="32"/>
      <c r="J14" s="32"/>
      <c r="K14" s="32"/>
      <c r="L14" s="32"/>
      <c r="M14" s="32"/>
    </row>
    <row r="15" spans="1:13" s="38" customFormat="1" ht="27.75" customHeight="1">
      <c r="A15" s="102"/>
      <c r="B15" s="106"/>
      <c r="C15" s="103"/>
      <c r="D15" s="103"/>
      <c r="E15" s="103"/>
      <c r="G15" s="34"/>
      <c r="H15" s="34"/>
      <c r="I15" s="32"/>
      <c r="J15" s="32"/>
      <c r="K15" s="32"/>
      <c r="L15" s="32"/>
      <c r="M15" s="32"/>
    </row>
    <row r="16" spans="1:13" s="38" customFormat="1" ht="27.75" customHeight="1">
      <c r="A16" s="102"/>
      <c r="B16" s="106"/>
      <c r="C16" s="103"/>
      <c r="D16" s="103"/>
      <c r="E16" s="103"/>
      <c r="G16" s="34"/>
      <c r="H16" s="34"/>
      <c r="I16" s="32"/>
      <c r="J16" s="32"/>
      <c r="K16" s="32"/>
      <c r="L16" s="32"/>
      <c r="M16" s="32"/>
    </row>
    <row r="17" spans="1:13" s="38" customFormat="1" ht="17.25" customHeight="1">
      <c r="A17" s="102"/>
      <c r="B17" s="106"/>
      <c r="C17" s="103"/>
      <c r="D17" s="103"/>
      <c r="E17" s="103"/>
      <c r="G17" s="34"/>
      <c r="H17" s="34"/>
      <c r="I17" s="32"/>
      <c r="J17" s="32"/>
      <c r="K17" s="32"/>
      <c r="L17" s="32"/>
      <c r="M17" s="32"/>
    </row>
    <row r="18" spans="1:13" s="38" customFormat="1" ht="17.25" customHeight="1">
      <c r="A18" s="352">
        <f>E1+1</f>
        <v>86</v>
      </c>
      <c r="B18" s="352"/>
      <c r="C18" s="103"/>
      <c r="D18" s="103"/>
      <c r="E18" s="103"/>
      <c r="G18" s="34"/>
      <c r="H18" s="34"/>
      <c r="I18" s="32"/>
      <c r="J18" s="32"/>
      <c r="K18" s="32"/>
      <c r="L18" s="32"/>
      <c r="M18" s="32"/>
    </row>
    <row r="19" spans="1:5" s="38" customFormat="1" ht="147.75" customHeight="1">
      <c r="A19" s="102"/>
      <c r="B19" s="106" t="s">
        <v>308</v>
      </c>
      <c r="C19" s="351" t="s">
        <v>417</v>
      </c>
      <c r="D19" s="351"/>
      <c r="E19" s="351"/>
    </row>
    <row r="20" spans="1:38" ht="33" customHeight="1">
      <c r="A20" s="107"/>
      <c r="B20" s="107"/>
      <c r="C20" s="107"/>
      <c r="D20" s="107"/>
      <c r="E20" s="107"/>
      <c r="G20" s="71" t="s">
        <v>309</v>
      </c>
      <c r="H20" s="71" t="s">
        <v>386</v>
      </c>
      <c r="I20" s="71" t="s">
        <v>45</v>
      </c>
      <c r="J20" s="71" t="s">
        <v>46</v>
      </c>
      <c r="K20" s="71" t="s">
        <v>387</v>
      </c>
      <c r="L20" s="71" t="s">
        <v>47</v>
      </c>
      <c r="M20" s="71" t="s">
        <v>48</v>
      </c>
      <c r="N20" s="71" t="s">
        <v>49</v>
      </c>
      <c r="O20" s="71"/>
      <c r="P20" s="72"/>
      <c r="Q20" s="71"/>
      <c r="R20" s="71"/>
      <c r="S20" s="73"/>
      <c r="T20" s="71"/>
      <c r="U20" s="71"/>
      <c r="V20" s="71"/>
      <c r="W20" s="71"/>
      <c r="X20" s="71"/>
      <c r="Y20" s="74"/>
      <c r="Z20" s="71"/>
      <c r="AA20" s="71"/>
      <c r="AB20" s="71"/>
      <c r="AC20" s="71"/>
      <c r="AD20" s="71"/>
      <c r="AE20" s="74"/>
      <c r="AF20" s="74"/>
      <c r="AG20" s="74"/>
      <c r="AH20" s="74"/>
      <c r="AI20" s="74"/>
      <c r="AJ20" s="74"/>
      <c r="AK20" s="74"/>
      <c r="AL20" s="74"/>
    </row>
    <row r="21" spans="1:38" ht="33" customHeight="1">
      <c r="A21" s="107"/>
      <c r="B21" s="107"/>
      <c r="C21" s="107"/>
      <c r="D21" s="107"/>
      <c r="E21" s="107"/>
      <c r="G21" s="30">
        <v>145240</v>
      </c>
      <c r="H21" s="30">
        <v>67377</v>
      </c>
      <c r="I21" s="30">
        <v>7765</v>
      </c>
      <c r="J21" s="30">
        <v>28636</v>
      </c>
      <c r="K21" s="30">
        <v>6190</v>
      </c>
      <c r="L21" s="30">
        <v>11668</v>
      </c>
      <c r="M21" s="30">
        <v>6736</v>
      </c>
      <c r="N21" s="30">
        <v>5810</v>
      </c>
      <c r="O21" s="30"/>
      <c r="P21" s="30"/>
      <c r="Q21" s="30"/>
      <c r="R21" s="31"/>
      <c r="S21" s="30"/>
      <c r="T21" s="30"/>
      <c r="U21" s="30"/>
      <c r="V21" s="30"/>
      <c r="W21" s="30"/>
      <c r="X21" s="30"/>
      <c r="Y21" s="74"/>
      <c r="Z21" s="30"/>
      <c r="AA21" s="30"/>
      <c r="AB21" s="30"/>
      <c r="AC21" s="30"/>
      <c r="AD21" s="30"/>
      <c r="AE21" s="74"/>
      <c r="AF21" s="74"/>
      <c r="AG21" s="74"/>
      <c r="AH21" s="74"/>
      <c r="AI21" s="74"/>
      <c r="AJ21" s="74"/>
      <c r="AK21" s="74"/>
      <c r="AL21" s="74"/>
    </row>
    <row r="22" spans="1:38" ht="33" customHeight="1">
      <c r="A22" s="107"/>
      <c r="B22" s="107"/>
      <c r="C22" s="107"/>
      <c r="D22" s="107"/>
      <c r="E22" s="107"/>
      <c r="G22" s="240">
        <f>SUM(H22:N22)</f>
        <v>0.9238639493252547</v>
      </c>
      <c r="H22" s="166">
        <f>SUM(H21/G21)</f>
        <v>0.4639011291655191</v>
      </c>
      <c r="I22" s="166">
        <f>SUM(I21/G21)</f>
        <v>0.05346323326907188</v>
      </c>
      <c r="J22" s="166">
        <f>SUM(J21/G21)</f>
        <v>0.19716331589093913</v>
      </c>
      <c r="K22" s="166">
        <f>SUM(K21/G21)</f>
        <v>0.04261911319195814</v>
      </c>
      <c r="L22" s="166">
        <f>SUM(L21/G21)</f>
        <v>0.08033599559350041</v>
      </c>
      <c r="M22" s="166">
        <f>SUM(M21/G21)</f>
        <v>0.046378408152024236</v>
      </c>
      <c r="N22" s="166">
        <f>SUM(N21/G21)</f>
        <v>0.0400027540622418</v>
      </c>
      <c r="O22" s="166"/>
      <c r="P22" s="30"/>
      <c r="Q22" s="30"/>
      <c r="R22" s="31"/>
      <c r="S22" s="30"/>
      <c r="T22" s="30"/>
      <c r="U22" s="30"/>
      <c r="V22" s="30"/>
      <c r="W22" s="30"/>
      <c r="X22" s="30"/>
      <c r="Y22" s="74"/>
      <c r="Z22" s="30"/>
      <c r="AA22" s="30"/>
      <c r="AB22" s="30"/>
      <c r="AC22" s="30"/>
      <c r="AD22" s="30"/>
      <c r="AE22" s="74"/>
      <c r="AF22" s="74"/>
      <c r="AG22" s="74"/>
      <c r="AH22" s="74"/>
      <c r="AI22" s="74"/>
      <c r="AJ22" s="74"/>
      <c r="AK22" s="74"/>
      <c r="AL22" s="74"/>
    </row>
    <row r="23" spans="1:7" ht="33" customHeight="1">
      <c r="A23" s="107"/>
      <c r="B23" s="107"/>
      <c r="C23" s="107"/>
      <c r="D23" s="107"/>
      <c r="E23" s="107"/>
      <c r="G23" s="169"/>
    </row>
    <row r="24" spans="1:5" ht="33" customHeight="1">
      <c r="A24" s="107"/>
      <c r="B24" s="107"/>
      <c r="C24" s="107"/>
      <c r="D24" s="107"/>
      <c r="E24" s="107"/>
    </row>
    <row r="25" spans="1:5" ht="33" customHeight="1">
      <c r="A25" s="107"/>
      <c r="B25" s="107"/>
      <c r="C25" s="107"/>
      <c r="D25" s="107"/>
      <c r="E25" s="107"/>
    </row>
    <row r="26" spans="1:5" ht="33" customHeight="1">
      <c r="A26" s="107"/>
      <c r="B26" s="107"/>
      <c r="C26" s="107"/>
      <c r="D26" s="107"/>
      <c r="E26" s="107"/>
    </row>
    <row r="27" spans="1:5" ht="42.75" customHeight="1">
      <c r="A27" s="108" t="s">
        <v>310</v>
      </c>
      <c r="B27" s="108"/>
      <c r="C27" s="108"/>
      <c r="D27" s="109"/>
      <c r="E27" s="109"/>
    </row>
    <row r="28" spans="1:5" ht="62.25" customHeight="1">
      <c r="A28" s="110"/>
      <c r="B28" s="348" t="s">
        <v>415</v>
      </c>
      <c r="C28" s="348"/>
      <c r="D28" s="348"/>
      <c r="E28" s="348"/>
    </row>
    <row r="29" spans="1:14" ht="12">
      <c r="A29" s="109"/>
      <c r="B29" s="109"/>
      <c r="C29" s="109"/>
      <c r="D29" s="109"/>
      <c r="E29" s="109"/>
      <c r="G29" s="333" t="s">
        <v>309</v>
      </c>
      <c r="H29" s="333" t="s">
        <v>50</v>
      </c>
      <c r="I29" s="333" t="s">
        <v>311</v>
      </c>
      <c r="J29" s="333" t="s">
        <v>312</v>
      </c>
      <c r="K29" s="333" t="s">
        <v>313</v>
      </c>
      <c r="L29" s="333" t="s">
        <v>314</v>
      </c>
      <c r="M29" s="333" t="s">
        <v>414</v>
      </c>
      <c r="N29" s="171"/>
    </row>
    <row r="30" spans="1:14" ht="12">
      <c r="A30" s="109"/>
      <c r="B30" s="109"/>
      <c r="C30" s="109"/>
      <c r="D30" s="109"/>
      <c r="E30" s="109"/>
      <c r="G30" s="77">
        <f>SUM(H30:M30)</f>
        <v>136292</v>
      </c>
      <c r="H30" s="77">
        <v>2255</v>
      </c>
      <c r="I30" s="77">
        <v>789</v>
      </c>
      <c r="J30" s="77">
        <v>45</v>
      </c>
      <c r="K30" s="77">
        <v>99</v>
      </c>
      <c r="L30" s="77">
        <v>1273</v>
      </c>
      <c r="M30" s="77">
        <v>131831</v>
      </c>
      <c r="N30" s="77"/>
    </row>
    <row r="31" spans="1:14" ht="12">
      <c r="A31" s="109"/>
      <c r="B31" s="109"/>
      <c r="C31" s="109"/>
      <c r="D31" s="109"/>
      <c r="E31" s="109"/>
      <c r="G31" s="76">
        <f>SUM(H31:M31)</f>
        <v>99.99000000000001</v>
      </c>
      <c r="H31" s="76">
        <f aca="true" t="shared" si="0" ref="H31:M31">ROUND(H30/$G$30*100,2)</f>
        <v>1.65</v>
      </c>
      <c r="I31" s="76">
        <f t="shared" si="0"/>
        <v>0.58</v>
      </c>
      <c r="J31" s="76">
        <f t="shared" si="0"/>
        <v>0.03</v>
      </c>
      <c r="K31" s="76">
        <f t="shared" si="0"/>
        <v>0.07</v>
      </c>
      <c r="L31" s="76">
        <f t="shared" si="0"/>
        <v>0.93</v>
      </c>
      <c r="M31" s="76">
        <f t="shared" si="0"/>
        <v>96.73</v>
      </c>
      <c r="N31" s="76"/>
    </row>
    <row r="32" spans="1:5" ht="12">
      <c r="A32" s="109"/>
      <c r="B32" s="109"/>
      <c r="C32" s="109"/>
      <c r="D32" s="109"/>
      <c r="E32" s="109"/>
    </row>
    <row r="33" spans="1:5" ht="12">
      <c r="A33" s="109"/>
      <c r="B33" s="109"/>
      <c r="C33" s="109"/>
      <c r="D33" s="109"/>
      <c r="E33" s="109"/>
    </row>
    <row r="34" spans="1:5" ht="12">
      <c r="A34" s="109"/>
      <c r="B34" s="109"/>
      <c r="C34" s="109"/>
      <c r="D34" s="109"/>
      <c r="E34" s="109"/>
    </row>
    <row r="35" spans="1:5" ht="12">
      <c r="A35" s="109"/>
      <c r="B35" s="109"/>
      <c r="C35" s="109"/>
      <c r="D35" s="109"/>
      <c r="E35" s="109"/>
    </row>
    <row r="36" spans="1:5" ht="12">
      <c r="A36" s="109"/>
      <c r="B36" s="109"/>
      <c r="C36" s="109"/>
      <c r="D36" s="109"/>
      <c r="E36" s="109"/>
    </row>
    <row r="37" spans="1:5" ht="12">
      <c r="A37" s="109"/>
      <c r="B37" s="109"/>
      <c r="C37" s="109"/>
      <c r="D37" s="109"/>
      <c r="E37" s="109"/>
    </row>
    <row r="38" spans="1:5" ht="12">
      <c r="A38" s="109"/>
      <c r="B38" s="109"/>
      <c r="C38" s="109"/>
      <c r="D38" s="109"/>
      <c r="E38" s="109"/>
    </row>
    <row r="39" spans="1:5" ht="12">
      <c r="A39" s="109"/>
      <c r="B39" s="109"/>
      <c r="C39" s="109"/>
      <c r="D39" s="109"/>
      <c r="E39" s="109"/>
    </row>
    <row r="40" spans="1:5" ht="12">
      <c r="A40" s="109"/>
      <c r="B40" s="109"/>
      <c r="C40" s="109"/>
      <c r="D40" s="109"/>
      <c r="E40" s="109"/>
    </row>
    <row r="41" spans="1:5" ht="12">
      <c r="A41" s="109"/>
      <c r="B41" s="109"/>
      <c r="C41" s="109"/>
      <c r="D41" s="109"/>
      <c r="E41" s="109"/>
    </row>
    <row r="42" spans="1:5" ht="12">
      <c r="A42" s="109"/>
      <c r="B42" s="109"/>
      <c r="C42" s="109"/>
      <c r="D42" s="109"/>
      <c r="E42" s="109"/>
    </row>
    <row r="43" spans="1:5" ht="12">
      <c r="A43" s="109"/>
      <c r="B43" s="109"/>
      <c r="C43" s="109"/>
      <c r="D43" s="109"/>
      <c r="E43" s="109"/>
    </row>
    <row r="44" spans="1:5" ht="12">
      <c r="A44" s="109"/>
      <c r="B44" s="109"/>
      <c r="C44" s="109"/>
      <c r="D44" s="109"/>
      <c r="E44" s="109"/>
    </row>
    <row r="45" spans="1:5" ht="12">
      <c r="A45" s="109"/>
      <c r="B45" s="109"/>
      <c r="C45" s="109"/>
      <c r="D45" s="109"/>
      <c r="E45" s="109"/>
    </row>
    <row r="46" spans="1:5" ht="12">
      <c r="A46" s="109"/>
      <c r="B46" s="109"/>
      <c r="C46" s="109"/>
      <c r="D46" s="109"/>
      <c r="E46" s="109"/>
    </row>
    <row r="47" spans="1:5" ht="12">
      <c r="A47" s="109"/>
      <c r="B47" s="109"/>
      <c r="C47" s="109"/>
      <c r="D47" s="109"/>
      <c r="E47" s="109"/>
    </row>
    <row r="48" spans="1:5" ht="12">
      <c r="A48" s="109"/>
      <c r="B48" s="109"/>
      <c r="C48" s="109"/>
      <c r="D48" s="109"/>
      <c r="E48" s="109"/>
    </row>
    <row r="49" spans="1:5" ht="12">
      <c r="A49" s="109"/>
      <c r="B49" s="109"/>
      <c r="C49" s="109"/>
      <c r="D49" s="109"/>
      <c r="E49" s="109"/>
    </row>
  </sheetData>
  <sheetProtection/>
  <mergeCells count="8">
    <mergeCell ref="B28:E28"/>
    <mergeCell ref="A2:E2"/>
    <mergeCell ref="A8:E8"/>
    <mergeCell ref="C9:E9"/>
    <mergeCell ref="C19:E19"/>
    <mergeCell ref="A4:E4"/>
    <mergeCell ref="B5:E5"/>
    <mergeCell ref="A18:B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17" max="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Y21"/>
  <sheetViews>
    <sheetView zoomScalePageLayoutView="0" workbookViewId="0" topLeftCell="A1">
      <pane xSplit="1" ySplit="8" topLeftCell="B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7" sqref="E17"/>
    </sheetView>
  </sheetViews>
  <sheetFormatPr defaultColWidth="5.125" defaultRowHeight="19.5" customHeight="1"/>
  <cols>
    <col min="1" max="1" width="13.50390625" style="222" customWidth="1"/>
    <col min="2" max="6" width="9.625" style="222" customWidth="1"/>
    <col min="7" max="8" width="10.25390625" style="222" customWidth="1"/>
    <col min="9" max="9" width="10.00390625" style="223" customWidth="1"/>
    <col min="10" max="10" width="9.875" style="223" customWidth="1"/>
    <col min="11" max="16" width="9.875" style="222" customWidth="1"/>
    <col min="17" max="16384" width="5.125" style="222" customWidth="1"/>
  </cols>
  <sheetData>
    <row r="1" spans="1:16" ht="19.5" customHeight="1">
      <c r="A1" s="243">
        <f>'6-3決算歲出'!N1+3</f>
        <v>106</v>
      </c>
      <c r="B1" s="221"/>
      <c r="O1" s="429">
        <f>A1+1</f>
        <v>107</v>
      </c>
      <c r="P1" s="429"/>
    </row>
    <row r="2" spans="1:22" s="225" customFormat="1" ht="19.5" customHeight="1">
      <c r="A2" s="430" t="s">
        <v>372</v>
      </c>
      <c r="B2" s="430"/>
      <c r="C2" s="430"/>
      <c r="D2" s="430"/>
      <c r="E2" s="430"/>
      <c r="F2" s="430"/>
      <c r="G2" s="430"/>
      <c r="H2" s="430"/>
      <c r="I2" s="430" t="s">
        <v>373</v>
      </c>
      <c r="J2" s="430"/>
      <c r="K2" s="430"/>
      <c r="L2" s="430"/>
      <c r="M2" s="430"/>
      <c r="N2" s="430"/>
      <c r="O2" s="430"/>
      <c r="P2" s="430"/>
      <c r="Q2" s="224"/>
      <c r="R2" s="224"/>
      <c r="S2" s="224"/>
      <c r="T2" s="224"/>
      <c r="U2" s="224"/>
      <c r="V2" s="224"/>
    </row>
    <row r="3" ht="11.25"/>
    <row r="4" spans="1:16" s="227" customFormat="1" ht="19.5" customHeight="1" thickBot="1">
      <c r="A4" s="226" t="s">
        <v>274</v>
      </c>
      <c r="I4" s="228"/>
      <c r="J4" s="228"/>
      <c r="P4" s="229" t="s">
        <v>275</v>
      </c>
    </row>
    <row r="5" spans="1:16" s="231" customFormat="1" ht="36" customHeight="1">
      <c r="A5" s="230" t="s">
        <v>276</v>
      </c>
      <c r="B5" s="276" t="s">
        <v>277</v>
      </c>
      <c r="C5" s="276" t="s">
        <v>278</v>
      </c>
      <c r="D5" s="276" t="s">
        <v>279</v>
      </c>
      <c r="E5" s="276" t="s">
        <v>280</v>
      </c>
      <c r="F5" s="276" t="s">
        <v>281</v>
      </c>
      <c r="G5" s="276" t="s">
        <v>282</v>
      </c>
      <c r="H5" s="277" t="s">
        <v>283</v>
      </c>
      <c r="I5" s="283" t="s">
        <v>284</v>
      </c>
      <c r="J5" s="276" t="s">
        <v>285</v>
      </c>
      <c r="K5" s="276" t="s">
        <v>286</v>
      </c>
      <c r="L5" s="276" t="s">
        <v>287</v>
      </c>
      <c r="M5" s="276" t="s">
        <v>288</v>
      </c>
      <c r="N5" s="276" t="s">
        <v>289</v>
      </c>
      <c r="O5" s="276" t="s">
        <v>290</v>
      </c>
      <c r="P5" s="277" t="s">
        <v>291</v>
      </c>
    </row>
    <row r="6" spans="1:103" s="233" customFormat="1" ht="63" customHeight="1" thickBot="1">
      <c r="A6" s="278" t="s">
        <v>327</v>
      </c>
      <c r="B6" s="279" t="s">
        <v>328</v>
      </c>
      <c r="C6" s="280" t="s">
        <v>329</v>
      </c>
      <c r="D6" s="280" t="s">
        <v>330</v>
      </c>
      <c r="E6" s="280" t="s">
        <v>331</v>
      </c>
      <c r="F6" s="280" t="s">
        <v>332</v>
      </c>
      <c r="G6" s="280" t="s">
        <v>342</v>
      </c>
      <c r="H6" s="282" t="s">
        <v>333</v>
      </c>
      <c r="I6" s="284" t="s">
        <v>334</v>
      </c>
      <c r="J6" s="280" t="s">
        <v>335</v>
      </c>
      <c r="K6" s="280" t="s">
        <v>336</v>
      </c>
      <c r="L6" s="281" t="s">
        <v>337</v>
      </c>
      <c r="M6" s="280" t="s">
        <v>338</v>
      </c>
      <c r="N6" s="280" t="s">
        <v>339</v>
      </c>
      <c r="O6" s="280" t="s">
        <v>340</v>
      </c>
      <c r="P6" s="282" t="s">
        <v>341</v>
      </c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</row>
    <row r="7" spans="1:16" s="231" customFormat="1" ht="28.5" customHeight="1" hidden="1">
      <c r="A7" s="234" t="s">
        <v>292</v>
      </c>
      <c r="B7" s="235">
        <f>SUM(C7:P7)</f>
        <v>57</v>
      </c>
      <c r="C7" s="236">
        <v>23</v>
      </c>
      <c r="D7" s="236">
        <v>0</v>
      </c>
      <c r="E7" s="236">
        <v>0</v>
      </c>
      <c r="F7" s="236">
        <v>20</v>
      </c>
      <c r="G7" s="236">
        <v>4</v>
      </c>
      <c r="H7" s="236">
        <v>2</v>
      </c>
      <c r="I7" s="236">
        <v>0</v>
      </c>
      <c r="J7" s="236">
        <v>0</v>
      </c>
      <c r="K7" s="236">
        <v>4</v>
      </c>
      <c r="L7" s="236">
        <v>4</v>
      </c>
      <c r="M7" s="236">
        <v>0</v>
      </c>
      <c r="N7" s="236">
        <v>0</v>
      </c>
      <c r="O7" s="236">
        <v>0</v>
      </c>
      <c r="P7" s="236">
        <v>0</v>
      </c>
    </row>
    <row r="8" spans="1:16" s="231" customFormat="1" ht="28.5" customHeight="1" hidden="1">
      <c r="A8" s="234" t="s">
        <v>293</v>
      </c>
      <c r="B8" s="235">
        <f>SUM(C8:P8)</f>
        <v>58</v>
      </c>
      <c r="C8" s="236">
        <v>23</v>
      </c>
      <c r="D8" s="236">
        <v>0</v>
      </c>
      <c r="E8" s="236">
        <v>0</v>
      </c>
      <c r="F8" s="236">
        <v>21</v>
      </c>
      <c r="G8" s="236">
        <v>4</v>
      </c>
      <c r="H8" s="236">
        <v>2</v>
      </c>
      <c r="I8" s="236">
        <v>0</v>
      </c>
      <c r="J8" s="236">
        <v>0</v>
      </c>
      <c r="K8" s="236">
        <v>4</v>
      </c>
      <c r="L8" s="236">
        <v>4</v>
      </c>
      <c r="M8" s="236">
        <v>0</v>
      </c>
      <c r="N8" s="236">
        <v>0</v>
      </c>
      <c r="O8" s="236">
        <v>0</v>
      </c>
      <c r="P8" s="236">
        <v>0</v>
      </c>
    </row>
    <row r="9" spans="1:16" s="231" customFormat="1" ht="5.25" customHeight="1">
      <c r="A9" s="274"/>
      <c r="B9" s="256"/>
      <c r="C9" s="236"/>
      <c r="D9" s="236"/>
      <c r="E9" s="236"/>
      <c r="F9" s="236"/>
      <c r="G9" s="256"/>
      <c r="H9" s="236"/>
      <c r="I9" s="236"/>
      <c r="J9" s="236"/>
      <c r="K9" s="236"/>
      <c r="L9" s="236"/>
      <c r="M9" s="236"/>
      <c r="N9" s="236"/>
      <c r="O9" s="236"/>
      <c r="P9" s="236"/>
    </row>
    <row r="10" spans="1:16" s="231" customFormat="1" ht="52.5" customHeight="1">
      <c r="A10" s="274" t="s">
        <v>367</v>
      </c>
      <c r="B10" s="256">
        <f>SUM(C10:P10)</f>
        <v>3</v>
      </c>
      <c r="C10" s="236">
        <f>SUM(C22:C23)</f>
        <v>0</v>
      </c>
      <c r="D10" s="236">
        <f>SUM(D22:D23)</f>
        <v>0</v>
      </c>
      <c r="E10" s="236">
        <f>SUM(E22:E23)</f>
        <v>0</v>
      </c>
      <c r="F10" s="236">
        <f>SUM(F22:F23)</f>
        <v>0</v>
      </c>
      <c r="G10" s="256">
        <v>3</v>
      </c>
      <c r="H10" s="236">
        <f aca="true" t="shared" si="0" ref="H10:P10">SUM(H22:H23)</f>
        <v>0</v>
      </c>
      <c r="I10" s="236">
        <f t="shared" si="0"/>
        <v>0</v>
      </c>
      <c r="J10" s="236">
        <f t="shared" si="0"/>
        <v>0</v>
      </c>
      <c r="K10" s="236">
        <f t="shared" si="0"/>
        <v>0</v>
      </c>
      <c r="L10" s="236">
        <f t="shared" si="0"/>
        <v>0</v>
      </c>
      <c r="M10" s="236">
        <f t="shared" si="0"/>
        <v>0</v>
      </c>
      <c r="N10" s="236">
        <f t="shared" si="0"/>
        <v>0</v>
      </c>
      <c r="O10" s="236">
        <f t="shared" si="0"/>
        <v>0</v>
      </c>
      <c r="P10" s="236">
        <f t="shared" si="0"/>
        <v>0</v>
      </c>
    </row>
    <row r="11" spans="1:16" s="231" customFormat="1" ht="52.5" customHeight="1">
      <c r="A11" s="274" t="s">
        <v>368</v>
      </c>
      <c r="B11" s="256">
        <f>SUM(C11:P11)</f>
        <v>3</v>
      </c>
      <c r="C11" s="236">
        <f>SUM(C20:C21)</f>
        <v>0</v>
      </c>
      <c r="D11" s="236">
        <f>SUM(D20:D21)</f>
        <v>0</v>
      </c>
      <c r="E11" s="236">
        <f>SUM(E20:E21)</f>
        <v>0</v>
      </c>
      <c r="F11" s="236">
        <f>SUM(F20:F21)</f>
        <v>0</v>
      </c>
      <c r="G11" s="256">
        <v>3</v>
      </c>
      <c r="H11" s="236">
        <f aca="true" t="shared" si="1" ref="H11:P11">SUM(H20:H21)</f>
        <v>0</v>
      </c>
      <c r="I11" s="236">
        <f t="shared" si="1"/>
        <v>0</v>
      </c>
      <c r="J11" s="236">
        <f t="shared" si="1"/>
        <v>0</v>
      </c>
      <c r="K11" s="236">
        <f t="shared" si="1"/>
        <v>0</v>
      </c>
      <c r="L11" s="236">
        <f t="shared" si="1"/>
        <v>0</v>
      </c>
      <c r="M11" s="236">
        <f t="shared" si="1"/>
        <v>0</v>
      </c>
      <c r="N11" s="236">
        <f t="shared" si="1"/>
        <v>0</v>
      </c>
      <c r="O11" s="236">
        <f t="shared" si="1"/>
        <v>0</v>
      </c>
      <c r="P11" s="236">
        <f t="shared" si="1"/>
        <v>0</v>
      </c>
    </row>
    <row r="12" spans="1:16" s="231" customFormat="1" ht="52.5" customHeight="1">
      <c r="A12" s="274" t="s">
        <v>369</v>
      </c>
      <c r="B12" s="256">
        <f aca="true" t="shared" si="2" ref="B12:B17">SUM(C12:P12)</f>
        <v>3</v>
      </c>
      <c r="C12" s="236">
        <f>SUM(C20:C21)</f>
        <v>0</v>
      </c>
      <c r="D12" s="236">
        <f>SUM(D20:D21)</f>
        <v>0</v>
      </c>
      <c r="E12" s="236">
        <f>SUM(E20:E21)</f>
        <v>0</v>
      </c>
      <c r="F12" s="236">
        <f>SUM(F20:F21)</f>
        <v>0</v>
      </c>
      <c r="G12" s="256">
        <v>3</v>
      </c>
      <c r="H12" s="236">
        <f aca="true" t="shared" si="3" ref="H12:P12">SUM(H20:H21)</f>
        <v>0</v>
      </c>
      <c r="I12" s="236">
        <f t="shared" si="3"/>
        <v>0</v>
      </c>
      <c r="J12" s="236">
        <f t="shared" si="3"/>
        <v>0</v>
      </c>
      <c r="K12" s="236">
        <f t="shared" si="3"/>
        <v>0</v>
      </c>
      <c r="L12" s="236">
        <f t="shared" si="3"/>
        <v>0</v>
      </c>
      <c r="M12" s="236">
        <f t="shared" si="3"/>
        <v>0</v>
      </c>
      <c r="N12" s="236">
        <f t="shared" si="3"/>
        <v>0</v>
      </c>
      <c r="O12" s="236">
        <f t="shared" si="3"/>
        <v>0</v>
      </c>
      <c r="P12" s="236">
        <f t="shared" si="3"/>
        <v>0</v>
      </c>
    </row>
    <row r="13" spans="1:16" s="231" customFormat="1" ht="52.5" customHeight="1">
      <c r="A13" s="274" t="s">
        <v>370</v>
      </c>
      <c r="B13" s="256">
        <f t="shared" si="2"/>
        <v>3</v>
      </c>
      <c r="C13" s="236">
        <f>SUM(C20:C21)</f>
        <v>0</v>
      </c>
      <c r="D13" s="236">
        <f>SUM(D20:D21)</f>
        <v>0</v>
      </c>
      <c r="E13" s="236">
        <f>SUM(E20:E21)</f>
        <v>0</v>
      </c>
      <c r="F13" s="236">
        <f>SUM(F20:F21)</f>
        <v>0</v>
      </c>
      <c r="G13" s="256">
        <v>3</v>
      </c>
      <c r="H13" s="236">
        <f aca="true" t="shared" si="4" ref="H13:P13">SUM(H20:H21)</f>
        <v>0</v>
      </c>
      <c r="I13" s="236">
        <f t="shared" si="4"/>
        <v>0</v>
      </c>
      <c r="J13" s="236">
        <f t="shared" si="4"/>
        <v>0</v>
      </c>
      <c r="K13" s="236">
        <f t="shared" si="4"/>
        <v>0</v>
      </c>
      <c r="L13" s="236">
        <f t="shared" si="4"/>
        <v>0</v>
      </c>
      <c r="M13" s="236">
        <f t="shared" si="4"/>
        <v>0</v>
      </c>
      <c r="N13" s="236">
        <f t="shared" si="4"/>
        <v>0</v>
      </c>
      <c r="O13" s="236">
        <f t="shared" si="4"/>
        <v>0</v>
      </c>
      <c r="P13" s="236">
        <f t="shared" si="4"/>
        <v>0</v>
      </c>
    </row>
    <row r="14" spans="1:16" s="231" customFormat="1" ht="52.5" customHeight="1">
      <c r="A14" s="274" t="s">
        <v>371</v>
      </c>
      <c r="B14" s="256">
        <f t="shared" si="2"/>
        <v>3</v>
      </c>
      <c r="C14" s="236">
        <v>0</v>
      </c>
      <c r="D14" s="236">
        <v>0</v>
      </c>
      <c r="E14" s="236">
        <v>0</v>
      </c>
      <c r="F14" s="236">
        <v>0</v>
      </c>
      <c r="G14" s="256">
        <v>3</v>
      </c>
      <c r="H14" s="236">
        <v>0</v>
      </c>
      <c r="I14" s="236">
        <v>0</v>
      </c>
      <c r="J14" s="236">
        <v>0</v>
      </c>
      <c r="K14" s="236">
        <v>0</v>
      </c>
      <c r="L14" s="236">
        <v>0</v>
      </c>
      <c r="M14" s="236">
        <v>0</v>
      </c>
      <c r="N14" s="236">
        <v>0</v>
      </c>
      <c r="O14" s="236">
        <v>0</v>
      </c>
      <c r="P14" s="236">
        <v>0</v>
      </c>
    </row>
    <row r="15" spans="1:16" s="231" customFormat="1" ht="52.5" customHeight="1">
      <c r="A15" s="274" t="s">
        <v>377</v>
      </c>
      <c r="B15" s="256">
        <f t="shared" si="2"/>
        <v>3</v>
      </c>
      <c r="C15" s="236">
        <v>0</v>
      </c>
      <c r="D15" s="236">
        <v>0</v>
      </c>
      <c r="E15" s="236">
        <v>0</v>
      </c>
      <c r="F15" s="236">
        <v>0</v>
      </c>
      <c r="G15" s="256">
        <v>3</v>
      </c>
      <c r="H15" s="236">
        <v>0</v>
      </c>
      <c r="I15" s="236">
        <v>0</v>
      </c>
      <c r="J15" s="236">
        <v>0</v>
      </c>
      <c r="K15" s="236">
        <v>0</v>
      </c>
      <c r="L15" s="236">
        <v>0</v>
      </c>
      <c r="M15" s="236">
        <v>0</v>
      </c>
      <c r="N15" s="236">
        <v>0</v>
      </c>
      <c r="O15" s="236">
        <v>0</v>
      </c>
      <c r="P15" s="236">
        <v>0</v>
      </c>
    </row>
    <row r="16" spans="1:16" s="231" customFormat="1" ht="52.5" customHeight="1">
      <c r="A16" s="274" t="s">
        <v>388</v>
      </c>
      <c r="B16" s="256">
        <f t="shared" si="2"/>
        <v>3</v>
      </c>
      <c r="C16" s="236">
        <v>0</v>
      </c>
      <c r="D16" s="236">
        <v>0</v>
      </c>
      <c r="E16" s="236">
        <v>0</v>
      </c>
      <c r="F16" s="236">
        <v>0</v>
      </c>
      <c r="G16" s="256">
        <v>3</v>
      </c>
      <c r="H16" s="236">
        <v>0</v>
      </c>
      <c r="I16" s="236">
        <v>0</v>
      </c>
      <c r="J16" s="236">
        <v>0</v>
      </c>
      <c r="K16" s="236">
        <v>0</v>
      </c>
      <c r="L16" s="236">
        <v>0</v>
      </c>
      <c r="M16" s="236">
        <v>0</v>
      </c>
      <c r="N16" s="236">
        <v>0</v>
      </c>
      <c r="O16" s="236">
        <v>0</v>
      </c>
      <c r="P16" s="236">
        <v>0</v>
      </c>
    </row>
    <row r="17" spans="1:16" s="231" customFormat="1" ht="52.5" customHeight="1">
      <c r="A17" s="274" t="s">
        <v>396</v>
      </c>
      <c r="B17" s="256">
        <f t="shared" si="2"/>
        <v>3</v>
      </c>
      <c r="C17" s="236">
        <v>0</v>
      </c>
      <c r="D17" s="236">
        <v>0</v>
      </c>
      <c r="E17" s="236">
        <v>0</v>
      </c>
      <c r="F17" s="236">
        <v>0</v>
      </c>
      <c r="G17" s="256">
        <v>3</v>
      </c>
      <c r="H17" s="236">
        <v>0</v>
      </c>
      <c r="I17" s="236">
        <v>0</v>
      </c>
      <c r="J17" s="236">
        <v>0</v>
      </c>
      <c r="K17" s="236">
        <v>0</v>
      </c>
      <c r="L17" s="236">
        <v>0</v>
      </c>
      <c r="M17" s="236">
        <v>0</v>
      </c>
      <c r="N17" s="236">
        <v>0</v>
      </c>
      <c r="O17" s="236">
        <v>0</v>
      </c>
      <c r="P17" s="236">
        <v>0</v>
      </c>
    </row>
    <row r="18" spans="1:16" s="231" customFormat="1" ht="52.5" customHeight="1">
      <c r="A18" s="274" t="s">
        <v>403</v>
      </c>
      <c r="B18" s="256">
        <f>SUM(C18:P18)</f>
        <v>3</v>
      </c>
      <c r="C18" s="236">
        <v>0</v>
      </c>
      <c r="D18" s="236">
        <v>0</v>
      </c>
      <c r="E18" s="236">
        <v>0</v>
      </c>
      <c r="F18" s="236">
        <v>0</v>
      </c>
      <c r="G18" s="256">
        <v>3</v>
      </c>
      <c r="H18" s="236">
        <v>0</v>
      </c>
      <c r="I18" s="236">
        <v>0</v>
      </c>
      <c r="J18" s="236">
        <v>0</v>
      </c>
      <c r="K18" s="236">
        <v>0</v>
      </c>
      <c r="L18" s="236">
        <v>0</v>
      </c>
      <c r="M18" s="236">
        <v>0</v>
      </c>
      <c r="N18" s="236">
        <v>0</v>
      </c>
      <c r="O18" s="236">
        <v>0</v>
      </c>
      <c r="P18" s="236">
        <v>0</v>
      </c>
    </row>
    <row r="19" spans="1:16" s="332" customFormat="1" ht="52.5" customHeight="1">
      <c r="A19" s="329" t="s">
        <v>413</v>
      </c>
      <c r="B19" s="330">
        <f>SUM(C19:P19)</f>
        <v>3</v>
      </c>
      <c r="C19" s="331">
        <v>0</v>
      </c>
      <c r="D19" s="331">
        <v>0</v>
      </c>
      <c r="E19" s="331">
        <v>0</v>
      </c>
      <c r="F19" s="331">
        <v>0</v>
      </c>
      <c r="G19" s="330">
        <v>3</v>
      </c>
      <c r="H19" s="331">
        <v>0</v>
      </c>
      <c r="I19" s="331">
        <v>0</v>
      </c>
      <c r="J19" s="331">
        <v>0</v>
      </c>
      <c r="K19" s="331">
        <v>0</v>
      </c>
      <c r="L19" s="331">
        <v>0</v>
      </c>
      <c r="M19" s="331">
        <v>0</v>
      </c>
      <c r="N19" s="331">
        <v>0</v>
      </c>
      <c r="O19" s="331">
        <v>0</v>
      </c>
      <c r="P19" s="331">
        <v>0</v>
      </c>
    </row>
    <row r="20" spans="1:16" s="223" customFormat="1" ht="5.25" customHeight="1" thickBot="1">
      <c r="A20" s="237"/>
      <c r="B20" s="238"/>
      <c r="C20" s="238"/>
      <c r="D20" s="238"/>
      <c r="E20" s="238"/>
      <c r="F20" s="238"/>
      <c r="G20" s="238"/>
      <c r="H20" s="238"/>
      <c r="I20" s="239"/>
      <c r="J20" s="239"/>
      <c r="K20" s="239"/>
      <c r="L20" s="239"/>
      <c r="M20" s="239"/>
      <c r="N20" s="239"/>
      <c r="O20" s="239"/>
      <c r="P20" s="239"/>
    </row>
    <row r="21" spans="1:10" s="227" customFormat="1" ht="26.25" customHeight="1">
      <c r="A21" s="428" t="s">
        <v>366</v>
      </c>
      <c r="B21" s="428"/>
      <c r="C21" s="428"/>
      <c r="D21" s="428"/>
      <c r="E21" s="428"/>
      <c r="F21" s="428"/>
      <c r="G21" s="428"/>
      <c r="H21" s="428"/>
      <c r="I21" s="228"/>
      <c r="J21" s="228"/>
    </row>
  </sheetData>
  <sheetProtection/>
  <mergeCells count="4">
    <mergeCell ref="A21:H21"/>
    <mergeCell ref="O1:P1"/>
    <mergeCell ref="I2:P2"/>
    <mergeCell ref="A2:H2"/>
  </mergeCells>
  <printOptions/>
  <pageMargins left="0.83" right="0.75" top="0.73" bottom="0.6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1"/>
  <sheetViews>
    <sheetView zoomScale="70" zoomScaleNormal="70" workbookViewId="0" topLeftCell="A10">
      <selection activeCell="L24" sqref="L24"/>
    </sheetView>
  </sheetViews>
  <sheetFormatPr defaultColWidth="9.00390625" defaultRowHeight="16.5"/>
  <cols>
    <col min="1" max="1" width="13.125" style="57" customWidth="1"/>
    <col min="2" max="2" width="12.25390625" style="0" customWidth="1"/>
    <col min="3" max="4" width="13.00390625" style="0" bestFit="1" customWidth="1"/>
    <col min="5" max="8" width="10.625" style="0" customWidth="1"/>
    <col min="9" max="9" width="9.75390625" style="0" customWidth="1"/>
    <col min="10" max="11" width="11.00390625" style="0" customWidth="1"/>
    <col min="12" max="12" width="11.625" style="0" customWidth="1"/>
    <col min="13" max="13" width="8.375" style="0" customWidth="1"/>
    <col min="14" max="14" width="9.375" style="0" bestFit="1" customWidth="1"/>
    <col min="15" max="15" width="7.50390625" style="0" bestFit="1" customWidth="1"/>
    <col min="16" max="16" width="11.875" style="0" customWidth="1"/>
    <col min="17" max="17" width="9.50390625" style="0" customWidth="1"/>
  </cols>
  <sheetData>
    <row r="1" spans="1:17" s="54" customFormat="1" ht="15.75" customHeight="1">
      <c r="A1" s="111">
        <f>'提要'!E1+3</f>
        <v>88</v>
      </c>
      <c r="B1" s="52"/>
      <c r="C1" s="52"/>
      <c r="D1" s="52"/>
      <c r="E1" s="52"/>
      <c r="F1" s="52"/>
      <c r="G1" s="52"/>
      <c r="H1" s="52"/>
      <c r="I1" s="52"/>
      <c r="J1" s="52" t="s">
        <v>22</v>
      </c>
      <c r="K1" s="53"/>
      <c r="L1" s="52"/>
      <c r="M1" s="52"/>
      <c r="N1" s="52"/>
      <c r="O1" s="52"/>
      <c r="P1" s="355">
        <f>A1+1</f>
        <v>89</v>
      </c>
      <c r="Q1" s="355"/>
    </row>
    <row r="2" spans="1:17" s="54" customFormat="1" ht="24" customHeight="1">
      <c r="A2" s="356" t="s">
        <v>320</v>
      </c>
      <c r="B2" s="356"/>
      <c r="C2" s="356"/>
      <c r="D2" s="356"/>
      <c r="E2" s="356"/>
      <c r="F2" s="356"/>
      <c r="G2" s="356"/>
      <c r="H2" s="356"/>
      <c r="I2" s="357" t="s">
        <v>321</v>
      </c>
      <c r="J2" s="357"/>
      <c r="K2" s="357"/>
      <c r="L2" s="357"/>
      <c r="M2" s="357"/>
      <c r="N2" s="357"/>
      <c r="O2" s="357"/>
      <c r="P2" s="357"/>
      <c r="Q2" s="357"/>
    </row>
    <row r="3" spans="1:17" s="55" customFormat="1" ht="19.5">
      <c r="A3" s="98" t="s">
        <v>66</v>
      </c>
      <c r="B3" s="95"/>
      <c r="C3" s="95"/>
      <c r="D3" s="95"/>
      <c r="E3" s="95"/>
      <c r="F3" s="95"/>
      <c r="G3" s="96"/>
      <c r="H3" s="97"/>
      <c r="I3" s="358" t="s">
        <v>324</v>
      </c>
      <c r="J3" s="358"/>
      <c r="K3" s="358"/>
      <c r="L3" s="358"/>
      <c r="M3" s="358"/>
      <c r="N3" s="358"/>
      <c r="O3" s="358"/>
      <c r="P3" s="358"/>
      <c r="Q3" s="358"/>
    </row>
    <row r="4" spans="1:17" s="54" customFormat="1" ht="15.75" customHeight="1" thickBot="1">
      <c r="A4" s="112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66" t="s">
        <v>67</v>
      </c>
      <c r="Q4" s="366"/>
    </row>
    <row r="5" spans="1:17" s="54" customFormat="1" ht="15.75" customHeight="1">
      <c r="A5" s="362" t="s">
        <v>69</v>
      </c>
      <c r="B5" s="364" t="s">
        <v>23</v>
      </c>
      <c r="C5" s="359" t="s">
        <v>156</v>
      </c>
      <c r="D5" s="360"/>
      <c r="E5" s="360"/>
      <c r="F5" s="360"/>
      <c r="G5" s="360"/>
      <c r="H5" s="360"/>
      <c r="I5" s="360" t="s">
        <v>155</v>
      </c>
      <c r="J5" s="360"/>
      <c r="K5" s="360"/>
      <c r="L5" s="360"/>
      <c r="M5" s="360"/>
      <c r="N5" s="361"/>
      <c r="O5" s="135"/>
      <c r="P5" s="367" t="s">
        <v>78</v>
      </c>
      <c r="Q5" s="353" t="s">
        <v>79</v>
      </c>
    </row>
    <row r="6" spans="1:17" s="54" customFormat="1" ht="27" customHeight="1">
      <c r="A6" s="363"/>
      <c r="B6" s="365"/>
      <c r="C6" s="113" t="s">
        <v>21</v>
      </c>
      <c r="D6" s="113" t="s">
        <v>2</v>
      </c>
      <c r="E6" s="114" t="s">
        <v>70</v>
      </c>
      <c r="F6" s="114" t="s">
        <v>71</v>
      </c>
      <c r="G6" s="114" t="s">
        <v>4</v>
      </c>
      <c r="H6" s="296" t="s">
        <v>72</v>
      </c>
      <c r="I6" s="136" t="s">
        <v>164</v>
      </c>
      <c r="J6" s="118"/>
      <c r="K6" s="116" t="s">
        <v>73</v>
      </c>
      <c r="L6" s="116" t="s">
        <v>74</v>
      </c>
      <c r="M6" s="116" t="s">
        <v>75</v>
      </c>
      <c r="N6" s="115" t="s">
        <v>76</v>
      </c>
      <c r="O6" s="115" t="s">
        <v>77</v>
      </c>
      <c r="P6" s="368"/>
      <c r="Q6" s="354"/>
    </row>
    <row r="7" spans="1:17" s="54" customFormat="1" ht="65.25" customHeight="1" thickBot="1">
      <c r="A7" s="79" t="s">
        <v>80</v>
      </c>
      <c r="B7" s="80" t="s">
        <v>81</v>
      </c>
      <c r="C7" s="80" t="s">
        <v>82</v>
      </c>
      <c r="D7" s="81" t="s">
        <v>159</v>
      </c>
      <c r="E7" s="81" t="s">
        <v>161</v>
      </c>
      <c r="F7" s="81" t="s">
        <v>160</v>
      </c>
      <c r="G7" s="81" t="s">
        <v>83</v>
      </c>
      <c r="H7" s="89" t="s">
        <v>162</v>
      </c>
      <c r="I7" s="117" t="s">
        <v>157</v>
      </c>
      <c r="J7" s="117" t="s">
        <v>158</v>
      </c>
      <c r="K7" s="99" t="s">
        <v>188</v>
      </c>
      <c r="L7" s="99" t="s">
        <v>84</v>
      </c>
      <c r="M7" s="100" t="s">
        <v>163</v>
      </c>
      <c r="N7" s="81" t="s">
        <v>85</v>
      </c>
      <c r="O7" s="81"/>
      <c r="P7" s="99" t="s">
        <v>86</v>
      </c>
      <c r="Q7" s="119" t="s">
        <v>87</v>
      </c>
    </row>
    <row r="8" spans="1:30" s="22" customFormat="1" ht="24.75" customHeight="1">
      <c r="A8" s="133" t="s">
        <v>346</v>
      </c>
      <c r="B8" s="29">
        <v>140934</v>
      </c>
      <c r="C8" s="29">
        <v>122828</v>
      </c>
      <c r="D8" s="29">
        <v>69084</v>
      </c>
      <c r="E8" s="29">
        <v>0</v>
      </c>
      <c r="F8" s="29">
        <v>207</v>
      </c>
      <c r="G8" s="29">
        <v>7510</v>
      </c>
      <c r="H8" s="29">
        <v>0</v>
      </c>
      <c r="I8" s="29">
        <v>173</v>
      </c>
      <c r="J8" s="29">
        <v>0</v>
      </c>
      <c r="K8" s="29">
        <v>0</v>
      </c>
      <c r="L8" s="29">
        <v>45060</v>
      </c>
      <c r="M8" s="29">
        <v>0</v>
      </c>
      <c r="N8" s="29">
        <v>794</v>
      </c>
      <c r="O8" s="29">
        <v>0</v>
      </c>
      <c r="P8" s="29">
        <v>18106</v>
      </c>
      <c r="Q8" s="29">
        <v>0</v>
      </c>
      <c r="R8" s="21"/>
      <c r="AD8" s="23"/>
    </row>
    <row r="9" spans="1:30" s="22" customFormat="1" ht="24.75" customHeight="1">
      <c r="A9" s="133" t="s">
        <v>347</v>
      </c>
      <c r="B9" s="29">
        <v>142366</v>
      </c>
      <c r="C9" s="29">
        <v>124286</v>
      </c>
      <c r="D9" s="29">
        <v>75166</v>
      </c>
      <c r="E9" s="29">
        <v>0</v>
      </c>
      <c r="F9" s="29">
        <v>165</v>
      </c>
      <c r="G9" s="29">
        <v>16980</v>
      </c>
      <c r="H9" s="29">
        <v>0</v>
      </c>
      <c r="I9" s="29">
        <v>16</v>
      </c>
      <c r="J9" s="29">
        <v>0</v>
      </c>
      <c r="K9" s="29">
        <v>0</v>
      </c>
      <c r="L9" s="29">
        <v>31080</v>
      </c>
      <c r="M9" s="29">
        <v>0</v>
      </c>
      <c r="N9" s="29">
        <v>879</v>
      </c>
      <c r="O9" s="29">
        <v>0</v>
      </c>
      <c r="P9" s="29">
        <v>18080</v>
      </c>
      <c r="Q9" s="29">
        <v>0</v>
      </c>
      <c r="R9" s="21"/>
      <c r="AD9" s="23"/>
    </row>
    <row r="10" spans="1:30" s="22" customFormat="1" ht="24.75" customHeight="1">
      <c r="A10" s="133" t="s">
        <v>348</v>
      </c>
      <c r="B10" s="29">
        <v>159046</v>
      </c>
      <c r="C10" s="29">
        <v>156766</v>
      </c>
      <c r="D10" s="29">
        <v>91173</v>
      </c>
      <c r="E10" s="29">
        <v>0</v>
      </c>
      <c r="F10" s="29">
        <v>343</v>
      </c>
      <c r="G10" s="29">
        <v>5191</v>
      </c>
      <c r="H10" s="29">
        <v>0</v>
      </c>
      <c r="I10" s="29">
        <v>27</v>
      </c>
      <c r="J10" s="29">
        <v>0</v>
      </c>
      <c r="K10" s="29">
        <v>0</v>
      </c>
      <c r="L10" s="29">
        <v>56956</v>
      </c>
      <c r="M10" s="29">
        <v>0</v>
      </c>
      <c r="N10" s="29">
        <v>3076</v>
      </c>
      <c r="O10" s="29">
        <v>0</v>
      </c>
      <c r="P10" s="29">
        <v>2280</v>
      </c>
      <c r="Q10" s="29">
        <v>0</v>
      </c>
      <c r="R10" s="21"/>
      <c r="AD10" s="23"/>
    </row>
    <row r="11" spans="1:30" s="22" customFormat="1" ht="24.75" customHeight="1">
      <c r="A11" s="133" t="s">
        <v>349</v>
      </c>
      <c r="B11" s="29">
        <v>196285</v>
      </c>
      <c r="C11" s="29">
        <v>187921</v>
      </c>
      <c r="D11" s="29">
        <v>109333</v>
      </c>
      <c r="E11" s="29">
        <v>0</v>
      </c>
      <c r="F11" s="29">
        <v>59</v>
      </c>
      <c r="G11" s="29">
        <v>4338</v>
      </c>
      <c r="H11" s="29">
        <v>0</v>
      </c>
      <c r="I11" s="29">
        <v>30</v>
      </c>
      <c r="J11" s="29">
        <v>0</v>
      </c>
      <c r="K11" s="29">
        <v>0</v>
      </c>
      <c r="L11" s="29">
        <v>72050</v>
      </c>
      <c r="M11" s="29">
        <v>0</v>
      </c>
      <c r="N11" s="29">
        <v>2111</v>
      </c>
      <c r="O11" s="29">
        <v>0</v>
      </c>
      <c r="P11" s="29">
        <v>8364</v>
      </c>
      <c r="Q11" s="29">
        <v>0</v>
      </c>
      <c r="R11" s="21"/>
      <c r="AD11" s="23"/>
    </row>
    <row r="12" spans="1:30" s="22" customFormat="1" ht="24.75" customHeight="1">
      <c r="A12" s="133" t="s">
        <v>378</v>
      </c>
      <c r="B12" s="29">
        <v>151356</v>
      </c>
      <c r="C12" s="29">
        <v>149853</v>
      </c>
      <c r="D12" s="29">
        <v>96461</v>
      </c>
      <c r="E12" s="29">
        <v>0</v>
      </c>
      <c r="F12" s="29">
        <v>51</v>
      </c>
      <c r="G12" s="29">
        <v>4369</v>
      </c>
      <c r="H12" s="29">
        <v>0</v>
      </c>
      <c r="I12" s="29">
        <v>40</v>
      </c>
      <c r="J12" s="29">
        <v>0</v>
      </c>
      <c r="K12" s="29">
        <v>0</v>
      </c>
      <c r="L12" s="29">
        <v>47753</v>
      </c>
      <c r="M12" s="29">
        <v>0</v>
      </c>
      <c r="N12" s="29">
        <v>1179</v>
      </c>
      <c r="O12" s="29">
        <v>0</v>
      </c>
      <c r="P12" s="29">
        <v>1503</v>
      </c>
      <c r="Q12" s="29">
        <v>0</v>
      </c>
      <c r="R12" s="21"/>
      <c r="AD12" s="23"/>
    </row>
    <row r="13" spans="1:30" s="22" customFormat="1" ht="24.75" customHeight="1">
      <c r="A13" s="133" t="s">
        <v>381</v>
      </c>
      <c r="B13" s="29">
        <v>160039</v>
      </c>
      <c r="C13" s="29">
        <v>142486</v>
      </c>
      <c r="D13" s="29">
        <v>96686</v>
      </c>
      <c r="E13" s="29">
        <v>0</v>
      </c>
      <c r="F13" s="29">
        <v>48</v>
      </c>
      <c r="G13" s="29">
        <v>5555</v>
      </c>
      <c r="H13" s="29">
        <v>0</v>
      </c>
      <c r="I13" s="29">
        <v>180</v>
      </c>
      <c r="J13" s="29">
        <v>0</v>
      </c>
      <c r="K13" s="29">
        <v>0</v>
      </c>
      <c r="L13" s="29">
        <v>38064</v>
      </c>
      <c r="M13" s="29">
        <v>0</v>
      </c>
      <c r="N13" s="29">
        <v>1953</v>
      </c>
      <c r="O13" s="29">
        <v>0</v>
      </c>
      <c r="P13" s="29">
        <v>17553</v>
      </c>
      <c r="Q13" s="29">
        <v>0</v>
      </c>
      <c r="R13" s="21"/>
      <c r="AD13" s="23"/>
    </row>
    <row r="14" spans="1:30" s="22" customFormat="1" ht="24.75" customHeight="1">
      <c r="A14" s="133" t="s">
        <v>391</v>
      </c>
      <c r="B14" s="29">
        <v>188056</v>
      </c>
      <c r="C14" s="29">
        <v>178971</v>
      </c>
      <c r="D14" s="29">
        <v>114232</v>
      </c>
      <c r="E14" s="29">
        <v>0</v>
      </c>
      <c r="F14" s="29">
        <v>471</v>
      </c>
      <c r="G14" s="29">
        <v>4885</v>
      </c>
      <c r="H14" s="29">
        <v>0</v>
      </c>
      <c r="I14" s="29">
        <v>198</v>
      </c>
      <c r="J14" s="29">
        <v>0</v>
      </c>
      <c r="K14" s="29">
        <v>0</v>
      </c>
      <c r="L14" s="29">
        <v>57177</v>
      </c>
      <c r="M14" s="29">
        <v>0</v>
      </c>
      <c r="N14" s="29">
        <v>2008</v>
      </c>
      <c r="O14" s="29">
        <v>0</v>
      </c>
      <c r="P14" s="29">
        <v>9085</v>
      </c>
      <c r="Q14" s="29">
        <v>0</v>
      </c>
      <c r="R14" s="21"/>
      <c r="AD14" s="23"/>
    </row>
    <row r="15" spans="1:30" s="22" customFormat="1" ht="24.75" customHeight="1">
      <c r="A15" s="133" t="s">
        <v>397</v>
      </c>
      <c r="B15" s="29">
        <v>174721</v>
      </c>
      <c r="C15" s="29">
        <v>166105</v>
      </c>
      <c r="D15" s="29">
        <v>121633</v>
      </c>
      <c r="E15" s="29">
        <v>0</v>
      </c>
      <c r="F15" s="29">
        <v>69</v>
      </c>
      <c r="G15" s="29">
        <v>4034</v>
      </c>
      <c r="H15" s="29">
        <v>0</v>
      </c>
      <c r="I15" s="29">
        <v>413</v>
      </c>
      <c r="J15" s="29">
        <v>688</v>
      </c>
      <c r="K15" s="29">
        <v>0</v>
      </c>
      <c r="L15" s="29">
        <v>35565</v>
      </c>
      <c r="M15" s="29">
        <v>400</v>
      </c>
      <c r="N15" s="29">
        <v>3303</v>
      </c>
      <c r="O15" s="29">
        <v>0</v>
      </c>
      <c r="P15" s="29">
        <v>8616</v>
      </c>
      <c r="Q15" s="29">
        <v>0</v>
      </c>
      <c r="R15" s="21"/>
      <c r="AD15" s="23"/>
    </row>
    <row r="16" spans="1:30" s="22" customFormat="1" ht="24.75" customHeight="1">
      <c r="A16" s="133" t="s">
        <v>405</v>
      </c>
      <c r="B16" s="29">
        <v>223882</v>
      </c>
      <c r="C16" s="29">
        <v>207387</v>
      </c>
      <c r="D16" s="29">
        <v>120459</v>
      </c>
      <c r="E16" s="29">
        <v>0</v>
      </c>
      <c r="F16" s="29">
        <v>684</v>
      </c>
      <c r="G16" s="29">
        <v>5727</v>
      </c>
      <c r="H16" s="29">
        <v>0</v>
      </c>
      <c r="I16" s="29">
        <v>555</v>
      </c>
      <c r="J16" s="29">
        <v>0</v>
      </c>
      <c r="K16" s="29">
        <v>0</v>
      </c>
      <c r="L16" s="29">
        <v>75586</v>
      </c>
      <c r="M16" s="29">
        <v>1019</v>
      </c>
      <c r="N16" s="29">
        <v>3357</v>
      </c>
      <c r="O16" s="29">
        <v>0</v>
      </c>
      <c r="P16" s="29">
        <v>16495</v>
      </c>
      <c r="Q16" s="29">
        <v>0</v>
      </c>
      <c r="R16" s="21"/>
      <c r="AD16" s="23"/>
    </row>
    <row r="17" spans="1:30" s="346" customFormat="1" ht="25.5" customHeight="1">
      <c r="A17" s="343" t="s">
        <v>406</v>
      </c>
      <c r="B17" s="344">
        <f aca="true" t="shared" si="0" ref="B17:B29">C17+P17+Q17</f>
        <v>215408</v>
      </c>
      <c r="C17" s="344">
        <f aca="true" t="shared" si="1" ref="C17:C29">SUM(D17:O17)</f>
        <v>190671</v>
      </c>
      <c r="D17" s="344">
        <f>SUM(D18:D29)</f>
        <v>136293</v>
      </c>
      <c r="E17" s="344">
        <f aca="true" t="shared" si="2" ref="E17:Q17">SUM(E18:E29)</f>
        <v>0</v>
      </c>
      <c r="F17" s="344">
        <f>SUM(F18:F29)</f>
        <v>71</v>
      </c>
      <c r="G17" s="344">
        <f>SUM(G18:G29)</f>
        <v>3041</v>
      </c>
      <c r="H17" s="344">
        <f t="shared" si="2"/>
        <v>0</v>
      </c>
      <c r="I17" s="344">
        <f>SUM(I18:I29)</f>
        <v>603</v>
      </c>
      <c r="J17" s="344">
        <f t="shared" si="2"/>
        <v>0</v>
      </c>
      <c r="K17" s="344">
        <f t="shared" si="2"/>
        <v>0</v>
      </c>
      <c r="L17" s="344">
        <f>SUM(L18:L29)</f>
        <v>46951</v>
      </c>
      <c r="M17" s="344">
        <f>SUM(M18:M29)</f>
        <v>150</v>
      </c>
      <c r="N17" s="344">
        <f>SUM(N18:N29)</f>
        <v>3562</v>
      </c>
      <c r="O17" s="344">
        <f t="shared" si="2"/>
        <v>0</v>
      </c>
      <c r="P17" s="344">
        <f>SUM(P18:P29)</f>
        <v>24737</v>
      </c>
      <c r="Q17" s="344">
        <f t="shared" si="2"/>
        <v>0</v>
      </c>
      <c r="R17" s="345"/>
      <c r="AD17" s="347"/>
    </row>
    <row r="18" spans="1:30" s="253" customFormat="1" ht="25.5" customHeight="1">
      <c r="A18" s="251" t="s">
        <v>88</v>
      </c>
      <c r="B18" s="168">
        <f t="shared" si="0"/>
        <v>15633</v>
      </c>
      <c r="C18" s="252">
        <f t="shared" si="1"/>
        <v>15626</v>
      </c>
      <c r="D18" s="252">
        <f aca="true" t="shared" si="3" ref="D18:D25">ROUND(D34/1000,0)</f>
        <v>14129</v>
      </c>
      <c r="E18" s="252">
        <v>0</v>
      </c>
      <c r="F18" s="252">
        <f aca="true" t="shared" si="4" ref="F18:F24">ROUND(F34/1000,0)</f>
        <v>0</v>
      </c>
      <c r="G18" s="252">
        <f aca="true" t="shared" si="5" ref="G18:G29">ROUND(G34/1000,0)</f>
        <v>232</v>
      </c>
      <c r="H18" s="252">
        <v>0</v>
      </c>
      <c r="I18" s="252">
        <f>ROUND(I34/1000,0)</f>
        <v>33</v>
      </c>
      <c r="J18" s="252">
        <f>ROUND(J34/1000,0)</f>
        <v>0</v>
      </c>
      <c r="K18" s="252">
        <v>0</v>
      </c>
      <c r="L18" s="252">
        <f>ROUND(L34/1000,0)-1</f>
        <v>1009</v>
      </c>
      <c r="M18" s="252">
        <f>ROUND(M34/1000,0)</f>
        <v>150</v>
      </c>
      <c r="N18" s="252">
        <f>ROUND(N34/1000,0)</f>
        <v>73</v>
      </c>
      <c r="O18" s="252">
        <v>0</v>
      </c>
      <c r="P18" s="252">
        <f aca="true" t="shared" si="6" ref="P18:P29">ROUND(P34/1000,0)</f>
        <v>7</v>
      </c>
      <c r="Q18" s="252">
        <v>0</v>
      </c>
      <c r="R18" s="249"/>
      <c r="AD18" s="250"/>
    </row>
    <row r="19" spans="1:30" s="253" customFormat="1" ht="25.5" customHeight="1">
      <c r="A19" s="251" t="s">
        <v>89</v>
      </c>
      <c r="B19" s="168">
        <f t="shared" si="0"/>
        <v>15910</v>
      </c>
      <c r="C19" s="252">
        <f t="shared" si="1"/>
        <v>10357</v>
      </c>
      <c r="D19" s="252">
        <f t="shared" si="3"/>
        <v>9342</v>
      </c>
      <c r="E19" s="252">
        <v>0</v>
      </c>
      <c r="F19" s="252">
        <f t="shared" si="4"/>
        <v>18</v>
      </c>
      <c r="G19" s="252">
        <f t="shared" si="5"/>
        <v>173</v>
      </c>
      <c r="H19" s="252">
        <v>0</v>
      </c>
      <c r="I19" s="252">
        <f aca="true" t="shared" si="7" ref="I19:I29">ROUND(I35/1000,0)</f>
        <v>25</v>
      </c>
      <c r="J19" s="252">
        <f aca="true" t="shared" si="8" ref="J19:J28">ROUND(J35/1000,0)</f>
        <v>0</v>
      </c>
      <c r="K19" s="252">
        <v>0</v>
      </c>
      <c r="L19" s="252">
        <f>ROUND(L35/1000,0)</f>
        <v>100</v>
      </c>
      <c r="M19" s="252">
        <f aca="true" t="shared" si="9" ref="M19:M27">ROUND(M35/1000,0)</f>
        <v>0</v>
      </c>
      <c r="N19" s="252">
        <f aca="true" t="shared" si="10" ref="N19:N29">ROUND(N35/1000,0)</f>
        <v>699</v>
      </c>
      <c r="O19" s="252">
        <v>0</v>
      </c>
      <c r="P19" s="252">
        <f t="shared" si="6"/>
        <v>5553</v>
      </c>
      <c r="Q19" s="252">
        <v>0</v>
      </c>
      <c r="R19" s="249"/>
      <c r="AD19" s="250"/>
    </row>
    <row r="20" spans="1:30" s="253" customFormat="1" ht="25.5" customHeight="1">
      <c r="A20" s="251" t="s">
        <v>90</v>
      </c>
      <c r="B20" s="168">
        <f t="shared" si="0"/>
        <v>32561</v>
      </c>
      <c r="C20" s="252">
        <f t="shared" si="1"/>
        <v>23756</v>
      </c>
      <c r="D20" s="252">
        <f t="shared" si="3"/>
        <v>22356</v>
      </c>
      <c r="E20" s="252">
        <v>0</v>
      </c>
      <c r="F20" s="252">
        <f t="shared" si="4"/>
        <v>22</v>
      </c>
      <c r="G20" s="252">
        <f t="shared" si="5"/>
        <v>445</v>
      </c>
      <c r="H20" s="252">
        <v>0</v>
      </c>
      <c r="I20" s="252">
        <f t="shared" si="7"/>
        <v>30</v>
      </c>
      <c r="J20" s="252">
        <f t="shared" si="8"/>
        <v>0</v>
      </c>
      <c r="K20" s="252">
        <v>0</v>
      </c>
      <c r="L20" s="252">
        <f>ROUND(L36/1000,0)</f>
        <v>670</v>
      </c>
      <c r="M20" s="252">
        <f t="shared" si="9"/>
        <v>0</v>
      </c>
      <c r="N20" s="252">
        <f t="shared" si="10"/>
        <v>233</v>
      </c>
      <c r="O20" s="252">
        <v>0</v>
      </c>
      <c r="P20" s="252">
        <f t="shared" si="6"/>
        <v>8805</v>
      </c>
      <c r="Q20" s="252">
        <v>0</v>
      </c>
      <c r="R20" s="249"/>
      <c r="AD20" s="250"/>
    </row>
    <row r="21" spans="1:30" s="253" customFormat="1" ht="25.5" customHeight="1">
      <c r="A21" s="251" t="s">
        <v>91</v>
      </c>
      <c r="B21" s="168">
        <f t="shared" si="0"/>
        <v>19847</v>
      </c>
      <c r="C21" s="252">
        <f t="shared" si="1"/>
        <v>18844</v>
      </c>
      <c r="D21" s="252">
        <f t="shared" si="3"/>
        <v>9164</v>
      </c>
      <c r="E21" s="252">
        <v>0</v>
      </c>
      <c r="F21" s="252">
        <f t="shared" si="4"/>
        <v>0</v>
      </c>
      <c r="G21" s="252">
        <f t="shared" si="5"/>
        <v>429</v>
      </c>
      <c r="H21" s="252">
        <v>0</v>
      </c>
      <c r="I21" s="252">
        <f t="shared" si="7"/>
        <v>40</v>
      </c>
      <c r="J21" s="252">
        <f t="shared" si="8"/>
        <v>0</v>
      </c>
      <c r="K21" s="252">
        <v>0</v>
      </c>
      <c r="L21" s="252">
        <f>ROUND(L37/1000,0)+1</f>
        <v>9113</v>
      </c>
      <c r="M21" s="252">
        <f t="shared" si="9"/>
        <v>0</v>
      </c>
      <c r="N21" s="252">
        <f t="shared" si="10"/>
        <v>98</v>
      </c>
      <c r="O21" s="252">
        <v>0</v>
      </c>
      <c r="P21" s="252">
        <f t="shared" si="6"/>
        <v>1003</v>
      </c>
      <c r="Q21" s="252">
        <v>0</v>
      </c>
      <c r="R21" s="249"/>
      <c r="AD21" s="250"/>
    </row>
    <row r="22" spans="1:30" s="253" customFormat="1" ht="25.5" customHeight="1">
      <c r="A22" s="251" t="s">
        <v>92</v>
      </c>
      <c r="B22" s="168">
        <f t="shared" si="0"/>
        <v>17278</v>
      </c>
      <c r="C22" s="252">
        <f t="shared" si="1"/>
        <v>13249</v>
      </c>
      <c r="D22" s="252">
        <f t="shared" si="3"/>
        <v>10417</v>
      </c>
      <c r="E22" s="252">
        <v>0</v>
      </c>
      <c r="F22" s="252">
        <f t="shared" si="4"/>
        <v>2</v>
      </c>
      <c r="G22" s="252">
        <f t="shared" si="5"/>
        <v>361</v>
      </c>
      <c r="H22" s="252">
        <v>0</v>
      </c>
      <c r="I22" s="252">
        <f t="shared" si="7"/>
        <v>85</v>
      </c>
      <c r="J22" s="252">
        <f t="shared" si="8"/>
        <v>0</v>
      </c>
      <c r="K22" s="252">
        <v>0</v>
      </c>
      <c r="L22" s="252">
        <f aca="true" t="shared" si="11" ref="L22:L28">ROUND(L38/1000,0)</f>
        <v>2264</v>
      </c>
      <c r="M22" s="252">
        <f t="shared" si="9"/>
        <v>0</v>
      </c>
      <c r="N22" s="252">
        <f t="shared" si="10"/>
        <v>120</v>
      </c>
      <c r="O22" s="252">
        <v>0</v>
      </c>
      <c r="P22" s="252">
        <f t="shared" si="6"/>
        <v>4029</v>
      </c>
      <c r="Q22" s="252">
        <v>0</v>
      </c>
      <c r="R22" s="249"/>
      <c r="AD22" s="250"/>
    </row>
    <row r="23" spans="1:18" s="253" customFormat="1" ht="25.5" customHeight="1">
      <c r="A23" s="251" t="s">
        <v>93</v>
      </c>
      <c r="B23" s="168">
        <f t="shared" si="0"/>
        <v>17519</v>
      </c>
      <c r="C23" s="252">
        <f t="shared" si="1"/>
        <v>14518</v>
      </c>
      <c r="D23" s="252">
        <f t="shared" si="3"/>
        <v>11365</v>
      </c>
      <c r="E23" s="252">
        <v>0</v>
      </c>
      <c r="F23" s="252">
        <f t="shared" si="4"/>
        <v>1</v>
      </c>
      <c r="G23" s="252">
        <f t="shared" si="5"/>
        <v>238</v>
      </c>
      <c r="H23" s="252">
        <v>0</v>
      </c>
      <c r="I23" s="252">
        <f t="shared" si="7"/>
        <v>48</v>
      </c>
      <c r="J23" s="252">
        <f t="shared" si="8"/>
        <v>0</v>
      </c>
      <c r="K23" s="252">
        <v>0</v>
      </c>
      <c r="L23" s="252">
        <f t="shared" si="11"/>
        <v>2781</v>
      </c>
      <c r="M23" s="252">
        <f t="shared" si="9"/>
        <v>0</v>
      </c>
      <c r="N23" s="252">
        <f t="shared" si="10"/>
        <v>85</v>
      </c>
      <c r="O23" s="252">
        <v>0</v>
      </c>
      <c r="P23" s="252">
        <f t="shared" si="6"/>
        <v>3001</v>
      </c>
      <c r="Q23" s="252">
        <v>0</v>
      </c>
      <c r="R23" s="249"/>
    </row>
    <row r="24" spans="1:30" s="253" customFormat="1" ht="25.5" customHeight="1">
      <c r="A24" s="251" t="s">
        <v>94</v>
      </c>
      <c r="B24" s="168">
        <f t="shared" si="0"/>
        <v>13602</v>
      </c>
      <c r="C24" s="252">
        <f t="shared" si="1"/>
        <v>11367</v>
      </c>
      <c r="D24" s="252">
        <f t="shared" si="3"/>
        <v>9235</v>
      </c>
      <c r="E24" s="252">
        <v>0</v>
      </c>
      <c r="F24" s="252">
        <f t="shared" si="4"/>
        <v>0</v>
      </c>
      <c r="G24" s="252">
        <f t="shared" si="5"/>
        <v>177</v>
      </c>
      <c r="H24" s="252">
        <v>0</v>
      </c>
      <c r="I24" s="252">
        <f t="shared" si="7"/>
        <v>20</v>
      </c>
      <c r="J24" s="252">
        <f t="shared" si="8"/>
        <v>0</v>
      </c>
      <c r="K24" s="252">
        <v>0</v>
      </c>
      <c r="L24" s="252">
        <f t="shared" si="11"/>
        <v>1595</v>
      </c>
      <c r="M24" s="252">
        <f t="shared" si="9"/>
        <v>0</v>
      </c>
      <c r="N24" s="252">
        <f t="shared" si="10"/>
        <v>340</v>
      </c>
      <c r="O24" s="252">
        <v>0</v>
      </c>
      <c r="P24" s="252">
        <f t="shared" si="6"/>
        <v>2235</v>
      </c>
      <c r="Q24" s="252">
        <v>0</v>
      </c>
      <c r="R24" s="249"/>
      <c r="AD24" s="250"/>
    </row>
    <row r="25" spans="1:30" s="253" customFormat="1" ht="25.5" customHeight="1">
      <c r="A25" s="251" t="s">
        <v>95</v>
      </c>
      <c r="B25" s="168">
        <f t="shared" si="0"/>
        <v>15363</v>
      </c>
      <c r="C25" s="252">
        <f t="shared" si="1"/>
        <v>15363</v>
      </c>
      <c r="D25" s="252">
        <f t="shared" si="3"/>
        <v>9172</v>
      </c>
      <c r="E25" s="252">
        <v>0</v>
      </c>
      <c r="F25" s="252">
        <f>ROUND(F41/1000,0)+1</f>
        <v>24</v>
      </c>
      <c r="G25" s="252">
        <f t="shared" si="5"/>
        <v>139</v>
      </c>
      <c r="H25" s="252">
        <v>0</v>
      </c>
      <c r="I25" s="252">
        <f t="shared" si="7"/>
        <v>126</v>
      </c>
      <c r="J25" s="252">
        <f t="shared" si="8"/>
        <v>0</v>
      </c>
      <c r="K25" s="252">
        <v>0</v>
      </c>
      <c r="L25" s="252">
        <f t="shared" si="11"/>
        <v>5699</v>
      </c>
      <c r="M25" s="252">
        <f t="shared" si="9"/>
        <v>0</v>
      </c>
      <c r="N25" s="252">
        <f t="shared" si="10"/>
        <v>203</v>
      </c>
      <c r="O25" s="252">
        <v>0</v>
      </c>
      <c r="P25" s="252">
        <f t="shared" si="6"/>
        <v>0</v>
      </c>
      <c r="Q25" s="252">
        <v>0</v>
      </c>
      <c r="R25" s="249"/>
      <c r="AD25" s="250"/>
    </row>
    <row r="26" spans="1:30" s="253" customFormat="1" ht="25.5" customHeight="1">
      <c r="A26" s="251" t="s">
        <v>96</v>
      </c>
      <c r="B26" s="168">
        <f t="shared" si="0"/>
        <v>19861</v>
      </c>
      <c r="C26" s="252">
        <f t="shared" si="1"/>
        <v>19861</v>
      </c>
      <c r="D26" s="252">
        <f>ROUND(D42/1000,0)-1</f>
        <v>10463</v>
      </c>
      <c r="E26" s="252">
        <v>0</v>
      </c>
      <c r="F26" s="252">
        <f>ROUND(F42/1000,0)</f>
        <v>0</v>
      </c>
      <c r="G26" s="252">
        <f t="shared" si="5"/>
        <v>166</v>
      </c>
      <c r="H26" s="252">
        <v>0</v>
      </c>
      <c r="I26" s="252">
        <f t="shared" si="7"/>
        <v>80</v>
      </c>
      <c r="J26" s="252">
        <f t="shared" si="8"/>
        <v>0</v>
      </c>
      <c r="K26" s="252">
        <v>0</v>
      </c>
      <c r="L26" s="252">
        <f t="shared" si="11"/>
        <v>8352</v>
      </c>
      <c r="M26" s="252">
        <f t="shared" si="9"/>
        <v>0</v>
      </c>
      <c r="N26" s="252">
        <f t="shared" si="10"/>
        <v>800</v>
      </c>
      <c r="O26" s="252">
        <v>0</v>
      </c>
      <c r="P26" s="252">
        <f t="shared" si="6"/>
        <v>0</v>
      </c>
      <c r="Q26" s="252">
        <v>0</v>
      </c>
      <c r="R26" s="249"/>
      <c r="AD26" s="250"/>
    </row>
    <row r="27" spans="1:30" s="253" customFormat="1" ht="25.5" customHeight="1">
      <c r="A27" s="251" t="s">
        <v>97</v>
      </c>
      <c r="B27" s="173">
        <f t="shared" si="0"/>
        <v>12809</v>
      </c>
      <c r="C27" s="252">
        <f t="shared" si="1"/>
        <v>12756</v>
      </c>
      <c r="D27" s="252">
        <f>ROUND(D43/1000,0)</f>
        <v>9895</v>
      </c>
      <c r="E27" s="252">
        <v>0</v>
      </c>
      <c r="F27" s="252">
        <f>ROUND(F43/1000,0)</f>
        <v>0</v>
      </c>
      <c r="G27" s="252">
        <f t="shared" si="5"/>
        <v>237</v>
      </c>
      <c r="H27" s="252">
        <v>0</v>
      </c>
      <c r="I27" s="252">
        <f t="shared" si="7"/>
        <v>29</v>
      </c>
      <c r="J27" s="252">
        <f t="shared" si="8"/>
        <v>0</v>
      </c>
      <c r="K27" s="252">
        <v>0</v>
      </c>
      <c r="L27" s="252">
        <f t="shared" si="11"/>
        <v>2359</v>
      </c>
      <c r="M27" s="252">
        <f t="shared" si="9"/>
        <v>0</v>
      </c>
      <c r="N27" s="252">
        <f t="shared" si="10"/>
        <v>236</v>
      </c>
      <c r="O27" s="252">
        <v>0</v>
      </c>
      <c r="P27" s="252">
        <f t="shared" si="6"/>
        <v>53</v>
      </c>
      <c r="Q27" s="252">
        <v>0</v>
      </c>
      <c r="R27" s="249"/>
      <c r="AD27" s="250"/>
    </row>
    <row r="28" spans="1:30" s="253" customFormat="1" ht="25.5" customHeight="1">
      <c r="A28" s="251" t="s">
        <v>98</v>
      </c>
      <c r="B28" s="173">
        <f t="shared" si="0"/>
        <v>12541</v>
      </c>
      <c r="C28" s="252">
        <f t="shared" si="1"/>
        <v>12496</v>
      </c>
      <c r="D28" s="252">
        <f>ROUND(D44/1000,0)</f>
        <v>9773</v>
      </c>
      <c r="E28" s="252">
        <v>0</v>
      </c>
      <c r="F28" s="252">
        <f>ROUND(F44/1000,0)</f>
        <v>0</v>
      </c>
      <c r="G28" s="252">
        <f t="shared" si="5"/>
        <v>164</v>
      </c>
      <c r="H28" s="252">
        <v>0</v>
      </c>
      <c r="I28" s="252">
        <f t="shared" si="7"/>
        <v>30</v>
      </c>
      <c r="J28" s="252">
        <f t="shared" si="8"/>
        <v>0</v>
      </c>
      <c r="K28" s="252">
        <v>0</v>
      </c>
      <c r="L28" s="252">
        <f t="shared" si="11"/>
        <v>2054</v>
      </c>
      <c r="M28" s="252">
        <f>ROUND(M44/1000,0)</f>
        <v>0</v>
      </c>
      <c r="N28" s="252">
        <f t="shared" si="10"/>
        <v>475</v>
      </c>
      <c r="O28" s="252">
        <v>0</v>
      </c>
      <c r="P28" s="252">
        <f t="shared" si="6"/>
        <v>45</v>
      </c>
      <c r="Q28" s="252">
        <v>0</v>
      </c>
      <c r="R28" s="249"/>
      <c r="AD28" s="250"/>
    </row>
    <row r="29" spans="1:18" s="253" customFormat="1" ht="25.5" customHeight="1">
      <c r="A29" s="251" t="s">
        <v>99</v>
      </c>
      <c r="B29" s="173">
        <f t="shared" si="0"/>
        <v>22484</v>
      </c>
      <c r="C29" s="252">
        <f t="shared" si="1"/>
        <v>22478</v>
      </c>
      <c r="D29" s="252">
        <f>ROUND(D45/1000,0)</f>
        <v>10982</v>
      </c>
      <c r="E29" s="252">
        <v>0</v>
      </c>
      <c r="F29" s="252">
        <f>ROUND(F45/1000,0)</f>
        <v>4</v>
      </c>
      <c r="G29" s="252">
        <f t="shared" si="5"/>
        <v>280</v>
      </c>
      <c r="H29" s="252">
        <v>0</v>
      </c>
      <c r="I29" s="252">
        <f t="shared" si="7"/>
        <v>57</v>
      </c>
      <c r="J29" s="252">
        <f>ROUND(J45/1000,0)</f>
        <v>0</v>
      </c>
      <c r="K29" s="252">
        <v>0</v>
      </c>
      <c r="L29" s="252">
        <f>ROUND(L45/1000,0)-1</f>
        <v>10955</v>
      </c>
      <c r="M29" s="252">
        <f>ROUND(M45/1000,0)</f>
        <v>0</v>
      </c>
      <c r="N29" s="252">
        <f t="shared" si="10"/>
        <v>200</v>
      </c>
      <c r="O29" s="252">
        <v>0</v>
      </c>
      <c r="P29" s="252">
        <f t="shared" si="6"/>
        <v>6</v>
      </c>
      <c r="Q29" s="252">
        <v>0</v>
      </c>
      <c r="R29" s="249"/>
    </row>
    <row r="30" spans="1:18" s="20" customFormat="1" ht="3" customHeight="1" thickBot="1">
      <c r="A30" s="246"/>
      <c r="B30" s="270"/>
      <c r="C30" s="247"/>
      <c r="D30" s="248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1"/>
    </row>
    <row r="31" spans="1:45" s="24" customFormat="1" ht="16.5">
      <c r="A31" s="154" t="s">
        <v>351</v>
      </c>
      <c r="B31" s="4"/>
      <c r="Q31" s="25"/>
      <c r="W31" s="26"/>
      <c r="AA31" s="27"/>
      <c r="AD31" s="26"/>
      <c r="AF31" s="26"/>
      <c r="AG31" s="26"/>
      <c r="AH31" s="26"/>
      <c r="AJ31" s="36"/>
      <c r="AK31" s="36"/>
      <c r="AL31" s="36"/>
      <c r="AM31" s="36"/>
      <c r="AN31" s="36"/>
      <c r="AO31" s="36"/>
      <c r="AP31" s="36"/>
      <c r="AQ31" s="36"/>
      <c r="AR31" s="36"/>
      <c r="AS31" s="36"/>
    </row>
    <row r="32" spans="1:45" s="24" customFormat="1" ht="16.5">
      <c r="A32" s="154"/>
      <c r="B32" s="4"/>
      <c r="Q32" s="25"/>
      <c r="W32" s="26"/>
      <c r="AA32" s="27"/>
      <c r="AD32" s="26"/>
      <c r="AF32" s="26"/>
      <c r="AG32" s="26"/>
      <c r="AH32" s="26"/>
      <c r="AJ32" s="36"/>
      <c r="AK32" s="36"/>
      <c r="AL32" s="36"/>
      <c r="AM32" s="36"/>
      <c r="AN32" s="36"/>
      <c r="AO32" s="36"/>
      <c r="AP32" s="36"/>
      <c r="AQ32" s="36"/>
      <c r="AR32" s="36"/>
      <c r="AS32" s="36"/>
    </row>
    <row r="33" spans="2:17" ht="16.5">
      <c r="B33" s="272">
        <f>SUM(B34:B45)</f>
        <v>215408256</v>
      </c>
      <c r="C33" s="272">
        <f>SUM(C34:C45)</f>
        <v>190671657</v>
      </c>
      <c r="D33" s="322">
        <f aca="true" t="shared" si="12" ref="D33:O33">SUM(D34:D45)</f>
        <v>136293130</v>
      </c>
      <c r="E33" s="272">
        <f t="shared" si="12"/>
        <v>0</v>
      </c>
      <c r="F33" s="272">
        <f t="shared" si="12"/>
        <v>71219</v>
      </c>
      <c r="G33" s="322">
        <f>SUM(G34:G45)</f>
        <v>3039988</v>
      </c>
      <c r="H33" s="272">
        <f t="shared" si="12"/>
        <v>0</v>
      </c>
      <c r="I33" s="272">
        <f t="shared" si="12"/>
        <v>602536</v>
      </c>
      <c r="J33" s="272">
        <f t="shared" si="12"/>
        <v>0</v>
      </c>
      <c r="K33" s="272">
        <f t="shared" si="12"/>
        <v>0</v>
      </c>
      <c r="L33" s="322">
        <f t="shared" si="12"/>
        <v>46951428</v>
      </c>
      <c r="M33" s="295">
        <f t="shared" si="12"/>
        <v>150000</v>
      </c>
      <c r="N33" s="323">
        <f>SUM(N34:N45)</f>
        <v>3563356</v>
      </c>
      <c r="O33" s="272">
        <f t="shared" si="12"/>
        <v>0</v>
      </c>
      <c r="P33" s="322">
        <f>SUM(P34:P45)</f>
        <v>24736599</v>
      </c>
      <c r="Q33" s="318"/>
    </row>
    <row r="34" spans="1:17" s="320" customFormat="1" ht="16.5">
      <c r="A34" s="251" t="s">
        <v>88</v>
      </c>
      <c r="B34" s="168">
        <f aca="true" t="shared" si="13" ref="B34:B45">C34+P34+Q34</f>
        <v>15634363</v>
      </c>
      <c r="C34" s="252">
        <f aca="true" t="shared" si="14" ref="C34:C45">SUM(D34:O34)</f>
        <v>15627139</v>
      </c>
      <c r="D34" s="252">
        <v>14128516</v>
      </c>
      <c r="E34" s="252">
        <v>0</v>
      </c>
      <c r="F34" s="252">
        <v>0</v>
      </c>
      <c r="G34" s="252">
        <v>231824</v>
      </c>
      <c r="H34" s="252">
        <v>0</v>
      </c>
      <c r="I34" s="252">
        <v>33139</v>
      </c>
      <c r="J34" s="252">
        <v>0</v>
      </c>
      <c r="K34" s="252">
        <v>0</v>
      </c>
      <c r="L34" s="252">
        <v>1010420</v>
      </c>
      <c r="M34" s="302">
        <v>150000</v>
      </c>
      <c r="N34" s="252">
        <v>73240</v>
      </c>
      <c r="O34" s="252">
        <v>0</v>
      </c>
      <c r="P34" s="252">
        <v>7224</v>
      </c>
      <c r="Q34" s="252">
        <v>0</v>
      </c>
    </row>
    <row r="35" spans="1:17" s="320" customFormat="1" ht="16.5">
      <c r="A35" s="251" t="s">
        <v>89</v>
      </c>
      <c r="B35" s="168">
        <f t="shared" si="13"/>
        <v>15910593</v>
      </c>
      <c r="C35" s="252">
        <f t="shared" si="14"/>
        <v>10357421</v>
      </c>
      <c r="D35" s="252">
        <v>9342162</v>
      </c>
      <c r="E35" s="252">
        <v>0</v>
      </c>
      <c r="F35" s="252">
        <v>18474</v>
      </c>
      <c r="G35" s="252">
        <v>172800</v>
      </c>
      <c r="H35" s="252">
        <v>0</v>
      </c>
      <c r="I35" s="252">
        <v>25000</v>
      </c>
      <c r="J35" s="252">
        <v>0</v>
      </c>
      <c r="K35" s="252">
        <v>0</v>
      </c>
      <c r="L35" s="252">
        <v>99880</v>
      </c>
      <c r="M35" s="252">
        <v>0</v>
      </c>
      <c r="N35" s="252">
        <v>699105</v>
      </c>
      <c r="O35" s="252">
        <v>0</v>
      </c>
      <c r="P35" s="252">
        <v>5553172</v>
      </c>
      <c r="Q35" s="252">
        <v>0</v>
      </c>
    </row>
    <row r="36" spans="1:17" s="320" customFormat="1" ht="16.5">
      <c r="A36" s="251" t="s">
        <v>90</v>
      </c>
      <c r="B36" s="168">
        <f t="shared" si="13"/>
        <v>32560036</v>
      </c>
      <c r="C36" s="252">
        <f t="shared" si="14"/>
        <v>23754995</v>
      </c>
      <c r="D36" s="252">
        <v>22355967</v>
      </c>
      <c r="E36" s="252">
        <v>0</v>
      </c>
      <c r="F36" s="252">
        <v>21995</v>
      </c>
      <c r="G36" s="252">
        <v>444620</v>
      </c>
      <c r="H36" s="252">
        <v>0</v>
      </c>
      <c r="I36" s="252">
        <v>30000</v>
      </c>
      <c r="J36" s="252">
        <v>0</v>
      </c>
      <c r="K36" s="252">
        <v>0</v>
      </c>
      <c r="L36" s="252">
        <v>669500</v>
      </c>
      <c r="M36" s="252">
        <v>0</v>
      </c>
      <c r="N36" s="252">
        <v>232913</v>
      </c>
      <c r="O36" s="252">
        <v>0</v>
      </c>
      <c r="P36" s="252">
        <v>8805041</v>
      </c>
      <c r="Q36" s="252">
        <v>0</v>
      </c>
    </row>
    <row r="37" spans="1:17" s="320" customFormat="1" ht="16.5">
      <c r="A37" s="251" t="s">
        <v>91</v>
      </c>
      <c r="B37" s="168">
        <f t="shared" si="13"/>
        <v>19846341</v>
      </c>
      <c r="C37" s="252">
        <f t="shared" si="14"/>
        <v>18843245</v>
      </c>
      <c r="D37" s="252">
        <v>9164145</v>
      </c>
      <c r="E37" s="252">
        <v>0</v>
      </c>
      <c r="F37" s="252">
        <v>34</v>
      </c>
      <c r="G37" s="252">
        <v>429060</v>
      </c>
      <c r="H37" s="252">
        <v>0</v>
      </c>
      <c r="I37" s="252">
        <v>39556</v>
      </c>
      <c r="J37" s="252">
        <v>0</v>
      </c>
      <c r="K37" s="252">
        <v>0</v>
      </c>
      <c r="L37" s="252">
        <v>9112000</v>
      </c>
      <c r="M37" s="252">
        <v>0</v>
      </c>
      <c r="N37" s="252">
        <v>98450</v>
      </c>
      <c r="O37" s="252">
        <v>0</v>
      </c>
      <c r="P37" s="252">
        <v>1003096</v>
      </c>
      <c r="Q37" s="252">
        <v>0</v>
      </c>
    </row>
    <row r="38" spans="1:17" s="320" customFormat="1" ht="16.5">
      <c r="A38" s="251" t="s">
        <v>92</v>
      </c>
      <c r="B38" s="168">
        <f t="shared" si="13"/>
        <v>17277081</v>
      </c>
      <c r="C38" s="252">
        <f t="shared" si="14"/>
        <v>13248165</v>
      </c>
      <c r="D38" s="252">
        <v>10416546</v>
      </c>
      <c r="E38" s="252">
        <v>0</v>
      </c>
      <c r="F38" s="252">
        <v>2102</v>
      </c>
      <c r="G38" s="252">
        <v>360860</v>
      </c>
      <c r="H38" s="252">
        <v>0</v>
      </c>
      <c r="I38" s="252">
        <v>85000</v>
      </c>
      <c r="J38" s="252">
        <v>0</v>
      </c>
      <c r="K38" s="252">
        <v>0</v>
      </c>
      <c r="L38" s="252">
        <v>2263604</v>
      </c>
      <c r="M38" s="252">
        <v>0</v>
      </c>
      <c r="N38" s="252">
        <v>120053</v>
      </c>
      <c r="O38" s="252">
        <v>0</v>
      </c>
      <c r="P38" s="252">
        <v>4028916</v>
      </c>
      <c r="Q38" s="252">
        <v>0</v>
      </c>
    </row>
    <row r="39" spans="1:17" s="320" customFormat="1" ht="16.5">
      <c r="A39" s="251" t="s">
        <v>93</v>
      </c>
      <c r="B39" s="168">
        <f t="shared" si="13"/>
        <v>17518699</v>
      </c>
      <c r="C39" s="252">
        <f t="shared" si="14"/>
        <v>14518111</v>
      </c>
      <c r="D39" s="252">
        <v>11364771</v>
      </c>
      <c r="E39" s="252">
        <v>0</v>
      </c>
      <c r="F39" s="252">
        <v>1419</v>
      </c>
      <c r="G39" s="252">
        <v>237857</v>
      </c>
      <c r="H39" s="252">
        <v>0</v>
      </c>
      <c r="I39" s="252">
        <v>48034</v>
      </c>
      <c r="J39" s="252">
        <v>0</v>
      </c>
      <c r="K39" s="252">
        <v>0</v>
      </c>
      <c r="L39" s="252">
        <v>2780962</v>
      </c>
      <c r="M39" s="252">
        <v>0</v>
      </c>
      <c r="N39" s="252">
        <v>85068</v>
      </c>
      <c r="O39" s="252">
        <v>0</v>
      </c>
      <c r="P39" s="252">
        <v>3000588</v>
      </c>
      <c r="Q39" s="252">
        <v>0</v>
      </c>
    </row>
    <row r="40" spans="1:17" s="320" customFormat="1" ht="16.5">
      <c r="A40" s="251" t="s">
        <v>94</v>
      </c>
      <c r="B40" s="168">
        <f t="shared" si="13"/>
        <v>13601773</v>
      </c>
      <c r="C40" s="252">
        <f t="shared" si="14"/>
        <v>11367146</v>
      </c>
      <c r="D40" s="252">
        <v>9235232</v>
      </c>
      <c r="E40" s="252">
        <v>0</v>
      </c>
      <c r="F40" s="252">
        <v>0</v>
      </c>
      <c r="G40" s="252">
        <v>176900</v>
      </c>
      <c r="H40" s="252">
        <v>0</v>
      </c>
      <c r="I40" s="252">
        <v>20000</v>
      </c>
      <c r="J40" s="252">
        <v>0</v>
      </c>
      <c r="K40" s="252">
        <v>0</v>
      </c>
      <c r="L40" s="252">
        <v>1595200</v>
      </c>
      <c r="M40" s="252">
        <v>0</v>
      </c>
      <c r="N40" s="252">
        <v>339814</v>
      </c>
      <c r="O40" s="252">
        <v>0</v>
      </c>
      <c r="P40" s="252">
        <v>2234627</v>
      </c>
      <c r="Q40" s="252">
        <v>0</v>
      </c>
    </row>
    <row r="41" spans="1:17" s="320" customFormat="1" ht="16.5">
      <c r="A41" s="251" t="s">
        <v>95</v>
      </c>
      <c r="B41" s="168">
        <f t="shared" si="13"/>
        <v>15362748</v>
      </c>
      <c r="C41" s="252">
        <f t="shared" si="14"/>
        <v>15362844</v>
      </c>
      <c r="D41" s="252">
        <v>9171748</v>
      </c>
      <c r="E41" s="252">
        <v>0</v>
      </c>
      <c r="F41" s="252">
        <v>23375</v>
      </c>
      <c r="G41" s="252">
        <v>139123</v>
      </c>
      <c r="H41" s="252">
        <v>0</v>
      </c>
      <c r="I41" s="252">
        <v>126000</v>
      </c>
      <c r="J41" s="252">
        <v>0</v>
      </c>
      <c r="K41" s="252">
        <v>0</v>
      </c>
      <c r="L41" s="252">
        <v>5699106</v>
      </c>
      <c r="M41" s="252">
        <v>0</v>
      </c>
      <c r="N41" s="252">
        <v>203492</v>
      </c>
      <c r="O41" s="252">
        <v>0</v>
      </c>
      <c r="P41" s="252">
        <v>-96</v>
      </c>
      <c r="Q41" s="252">
        <v>0</v>
      </c>
    </row>
    <row r="42" spans="1:17" s="320" customFormat="1" ht="16.5">
      <c r="A42" s="251" t="s">
        <v>96</v>
      </c>
      <c r="B42" s="168">
        <f t="shared" si="13"/>
        <v>19861797</v>
      </c>
      <c r="C42" s="252">
        <f t="shared" si="14"/>
        <v>19861797</v>
      </c>
      <c r="D42" s="252">
        <v>10463694</v>
      </c>
      <c r="E42" s="252">
        <v>0</v>
      </c>
      <c r="F42" s="252">
        <v>0</v>
      </c>
      <c r="G42" s="252">
        <v>165880</v>
      </c>
      <c r="H42" s="252">
        <v>0</v>
      </c>
      <c r="I42" s="252">
        <v>80000</v>
      </c>
      <c r="J42" s="252">
        <v>0</v>
      </c>
      <c r="K42" s="252">
        <v>0</v>
      </c>
      <c r="L42" s="252">
        <v>8352084</v>
      </c>
      <c r="M42" s="252">
        <v>0</v>
      </c>
      <c r="N42" s="252">
        <v>800139</v>
      </c>
      <c r="O42" s="252">
        <v>0</v>
      </c>
      <c r="P42" s="252">
        <v>0</v>
      </c>
      <c r="Q42" s="252">
        <v>0</v>
      </c>
    </row>
    <row r="43" spans="1:17" s="320" customFormat="1" ht="16.5">
      <c r="A43" s="251" t="s">
        <v>97</v>
      </c>
      <c r="B43" s="173">
        <f t="shared" si="13"/>
        <v>12809294</v>
      </c>
      <c r="C43" s="252">
        <f t="shared" si="14"/>
        <v>12756014</v>
      </c>
      <c r="D43" s="252">
        <v>9895380</v>
      </c>
      <c r="E43" s="252">
        <v>0</v>
      </c>
      <c r="F43" s="252">
        <v>0</v>
      </c>
      <c r="G43" s="252">
        <v>237020</v>
      </c>
      <c r="H43" s="252">
        <v>0</v>
      </c>
      <c r="I43" s="252">
        <v>28650</v>
      </c>
      <c r="J43" s="252">
        <v>0</v>
      </c>
      <c r="K43" s="252">
        <v>0</v>
      </c>
      <c r="L43" s="252">
        <v>2358500</v>
      </c>
      <c r="M43" s="252">
        <v>0</v>
      </c>
      <c r="N43" s="252">
        <v>236464</v>
      </c>
      <c r="O43" s="252">
        <v>0</v>
      </c>
      <c r="P43" s="252">
        <v>53280</v>
      </c>
      <c r="Q43" s="252">
        <v>0</v>
      </c>
    </row>
    <row r="44" spans="1:17" s="320" customFormat="1" ht="16.5">
      <c r="A44" s="251" t="s">
        <v>98</v>
      </c>
      <c r="B44" s="173">
        <f t="shared" si="13"/>
        <v>12540896</v>
      </c>
      <c r="C44" s="252">
        <f t="shared" si="14"/>
        <v>12495952</v>
      </c>
      <c r="D44" s="252">
        <v>9773151</v>
      </c>
      <c r="E44" s="252">
        <v>0</v>
      </c>
      <c r="F44" s="252">
        <v>2</v>
      </c>
      <c r="G44" s="252">
        <v>163936</v>
      </c>
      <c r="H44" s="252">
        <v>0</v>
      </c>
      <c r="I44" s="252">
        <v>30000</v>
      </c>
      <c r="J44" s="252">
        <v>0</v>
      </c>
      <c r="K44" s="252">
        <v>0</v>
      </c>
      <c r="L44" s="252">
        <v>2054309</v>
      </c>
      <c r="M44" s="252">
        <v>0</v>
      </c>
      <c r="N44" s="252">
        <v>474554</v>
      </c>
      <c r="O44" s="252">
        <v>0</v>
      </c>
      <c r="P44" s="252">
        <v>44944</v>
      </c>
      <c r="Q44" s="252">
        <v>0</v>
      </c>
    </row>
    <row r="45" spans="1:17" s="320" customFormat="1" ht="16.5">
      <c r="A45" s="251" t="s">
        <v>99</v>
      </c>
      <c r="B45" s="173">
        <f t="shared" si="13"/>
        <v>22484635</v>
      </c>
      <c r="C45" s="252">
        <f t="shared" si="14"/>
        <v>22478828</v>
      </c>
      <c r="D45" s="321">
        <v>10981818</v>
      </c>
      <c r="E45" s="252">
        <v>0</v>
      </c>
      <c r="F45" s="321">
        <v>3818</v>
      </c>
      <c r="G45" s="321">
        <v>280108</v>
      </c>
      <c r="H45" s="252">
        <v>0</v>
      </c>
      <c r="I45" s="321">
        <v>57157</v>
      </c>
      <c r="J45" s="252">
        <v>0</v>
      </c>
      <c r="K45" s="252">
        <v>0</v>
      </c>
      <c r="L45" s="321">
        <v>10955863</v>
      </c>
      <c r="M45" s="252">
        <v>0</v>
      </c>
      <c r="N45" s="321">
        <v>200064</v>
      </c>
      <c r="O45" s="252">
        <v>0</v>
      </c>
      <c r="P45" s="321">
        <v>5807</v>
      </c>
      <c r="Q45" s="252">
        <v>0</v>
      </c>
    </row>
    <row r="46" ht="16.5">
      <c r="D46" s="17"/>
    </row>
    <row r="47" ht="16.5">
      <c r="D47" s="17"/>
    </row>
    <row r="48" ht="16.5">
      <c r="D48" s="17"/>
    </row>
    <row r="49" ht="16.5">
      <c r="D49" s="17"/>
    </row>
    <row r="50" ht="16.5">
      <c r="D50" s="17"/>
    </row>
    <row r="51" ht="16.5">
      <c r="D51" s="17"/>
    </row>
    <row r="52" ht="16.5">
      <c r="D52" s="17"/>
    </row>
    <row r="53" ht="16.5">
      <c r="D53" s="17"/>
    </row>
    <row r="54" ht="16.5">
      <c r="D54" s="17"/>
    </row>
    <row r="55" ht="16.5">
      <c r="D55" s="17"/>
    </row>
    <row r="56" ht="16.5">
      <c r="D56" s="17"/>
    </row>
    <row r="57" ht="16.5">
      <c r="D57" s="17"/>
    </row>
    <row r="58" ht="16.5">
      <c r="D58" s="17"/>
    </row>
    <row r="59" ht="16.5">
      <c r="D59" s="17"/>
    </row>
    <row r="60" ht="16.5">
      <c r="D60" s="17"/>
    </row>
    <row r="61" ht="16.5">
      <c r="D61" s="17"/>
    </row>
    <row r="62" ht="16.5">
      <c r="D62" s="17"/>
    </row>
    <row r="63" ht="16.5">
      <c r="D63" s="17"/>
    </row>
    <row r="64" ht="16.5">
      <c r="D64" s="17"/>
    </row>
    <row r="65" ht="16.5">
      <c r="D65" s="17"/>
    </row>
    <row r="66" ht="16.5">
      <c r="D66" s="17"/>
    </row>
    <row r="67" ht="16.5">
      <c r="D67" s="17"/>
    </row>
    <row r="68" ht="16.5">
      <c r="D68" s="17"/>
    </row>
    <row r="69" ht="16.5">
      <c r="D69" s="17"/>
    </row>
    <row r="70" ht="16.5">
      <c r="D70" s="17"/>
    </row>
    <row r="71" ht="16.5">
      <c r="D71" s="17"/>
    </row>
  </sheetData>
  <sheetProtection/>
  <mergeCells count="11">
    <mergeCell ref="P5:P6"/>
    <mergeCell ref="Q5:Q6"/>
    <mergeCell ref="P1:Q1"/>
    <mergeCell ref="A2:H2"/>
    <mergeCell ref="I2:Q2"/>
    <mergeCell ref="I3:Q3"/>
    <mergeCell ref="C5:H5"/>
    <mergeCell ref="I5:N5"/>
    <mergeCell ref="A5:A6"/>
    <mergeCell ref="B5:B6"/>
    <mergeCell ref="P4:Q4"/>
  </mergeCells>
  <printOptions/>
  <pageMargins left="0.7874015748031497" right="0.7874015748031497" top="0.5905511811023623" bottom="0" header="0" footer="0"/>
  <pageSetup horizontalDpi="600" verticalDpi="600" orientation="portrait" paperSize="9" scale="84" r:id="rId1"/>
  <colBreaks count="1" manualBreakCount="1">
    <brk id="8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84"/>
  <sheetViews>
    <sheetView zoomScale="85" zoomScaleNormal="85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Y46" sqref="Y46"/>
    </sheetView>
  </sheetViews>
  <sheetFormatPr defaultColWidth="9.00390625" defaultRowHeight="16.5"/>
  <cols>
    <col min="1" max="1" width="13.50390625" style="46" customWidth="1"/>
    <col min="2" max="2" width="12.125" style="3" customWidth="1"/>
    <col min="3" max="7" width="11.75390625" style="3" customWidth="1"/>
    <col min="8" max="11" width="9.25390625" style="3" customWidth="1"/>
    <col min="12" max="12" width="9.75390625" style="3" customWidth="1"/>
    <col min="13" max="14" width="9.25390625" style="3" customWidth="1"/>
    <col min="15" max="15" width="10.625" style="3" customWidth="1"/>
    <col min="16" max="16" width="10.125" style="3" customWidth="1"/>
    <col min="17" max="17" width="11.875" style="58" customWidth="1"/>
    <col min="18" max="18" width="8.625" style="3" customWidth="1"/>
    <col min="19" max="19" width="9.125" style="3" customWidth="1"/>
    <col min="20" max="20" width="9.625" style="3" customWidth="1"/>
    <col min="21" max="22" width="9.125" style="3" customWidth="1"/>
    <col min="23" max="23" width="8.625" style="3" customWidth="1"/>
    <col min="24" max="24" width="11.125" style="3" customWidth="1"/>
    <col min="25" max="25" width="9.125" style="3" customWidth="1"/>
    <col min="26" max="26" width="10.00390625" style="3" customWidth="1"/>
    <col min="27" max="29" width="9.125" style="3" customWidth="1"/>
    <col min="30" max="30" width="8.875" style="3" customWidth="1"/>
    <col min="31" max="34" width="9.125" style="3" customWidth="1"/>
    <col min="35" max="16384" width="9.00390625" style="3" customWidth="1"/>
  </cols>
  <sheetData>
    <row r="1" spans="1:34" s="41" customFormat="1" ht="11.25">
      <c r="A1" s="111">
        <f>'6-1收'!P1+1</f>
        <v>90</v>
      </c>
      <c r="H1" s="42"/>
      <c r="I1" s="40"/>
      <c r="M1" s="43"/>
      <c r="O1" s="391">
        <f>A1+1</f>
        <v>91</v>
      </c>
      <c r="P1" s="391"/>
      <c r="Q1" s="390">
        <f>O1+1</f>
        <v>92</v>
      </c>
      <c r="R1" s="390"/>
      <c r="Z1" s="42"/>
      <c r="AA1" s="40"/>
      <c r="AH1" s="120">
        <f>Q1+1</f>
        <v>93</v>
      </c>
    </row>
    <row r="2" spans="1:34" s="44" customFormat="1" ht="24" customHeight="1">
      <c r="A2" s="369" t="s">
        <v>323</v>
      </c>
      <c r="B2" s="369"/>
      <c r="C2" s="369"/>
      <c r="D2" s="369"/>
      <c r="E2" s="369"/>
      <c r="F2" s="369"/>
      <c r="G2" s="369"/>
      <c r="H2" s="371" t="s">
        <v>353</v>
      </c>
      <c r="I2" s="372"/>
      <c r="J2" s="372"/>
      <c r="K2" s="372"/>
      <c r="L2" s="372"/>
      <c r="M2" s="372"/>
      <c r="N2" s="372"/>
      <c r="O2" s="372"/>
      <c r="P2" s="372"/>
      <c r="Q2" s="369" t="s">
        <v>323</v>
      </c>
      <c r="R2" s="369"/>
      <c r="S2" s="369"/>
      <c r="T2" s="369"/>
      <c r="U2" s="369"/>
      <c r="V2" s="369"/>
      <c r="W2" s="369"/>
      <c r="X2" s="369"/>
      <c r="Y2" s="369"/>
      <c r="Z2" s="373" t="s">
        <v>322</v>
      </c>
      <c r="AA2" s="374"/>
      <c r="AB2" s="374"/>
      <c r="AC2" s="374"/>
      <c r="AD2" s="374"/>
      <c r="AE2" s="374"/>
      <c r="AF2" s="374"/>
      <c r="AG2" s="374"/>
      <c r="AH2" s="374"/>
    </row>
    <row r="3" spans="1:34" s="45" customFormat="1" ht="19.5" customHeight="1">
      <c r="A3" s="370" t="s">
        <v>165</v>
      </c>
      <c r="B3" s="370"/>
      <c r="C3" s="370"/>
      <c r="D3" s="370"/>
      <c r="E3" s="370"/>
      <c r="F3" s="370"/>
      <c r="G3" s="370"/>
      <c r="H3" s="370" t="s">
        <v>325</v>
      </c>
      <c r="I3" s="370"/>
      <c r="J3" s="370"/>
      <c r="K3" s="370"/>
      <c r="L3" s="370"/>
      <c r="M3" s="370"/>
      <c r="N3" s="370"/>
      <c r="O3" s="370"/>
      <c r="P3" s="370"/>
      <c r="Q3" s="370" t="s">
        <v>178</v>
      </c>
      <c r="R3" s="370"/>
      <c r="S3" s="370"/>
      <c r="T3" s="370"/>
      <c r="U3" s="370"/>
      <c r="V3" s="370"/>
      <c r="W3" s="370"/>
      <c r="X3" s="370"/>
      <c r="Y3" s="370"/>
      <c r="Z3" s="370" t="s">
        <v>180</v>
      </c>
      <c r="AA3" s="370"/>
      <c r="AB3" s="370"/>
      <c r="AC3" s="370"/>
      <c r="AD3" s="370"/>
      <c r="AE3" s="370"/>
      <c r="AF3" s="370"/>
      <c r="AG3" s="370"/>
      <c r="AH3" s="370"/>
    </row>
    <row r="4" spans="1:34" s="41" customFormat="1" ht="15.75" customHeight="1" thickBot="1">
      <c r="A4" s="112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134" t="s">
        <v>67</v>
      </c>
      <c r="Q4" s="137" t="s">
        <v>0</v>
      </c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134" t="s">
        <v>179</v>
      </c>
    </row>
    <row r="5" spans="1:34" s="41" customFormat="1" ht="14.25" customHeight="1">
      <c r="A5" s="382" t="s">
        <v>52</v>
      </c>
      <c r="B5" s="384" t="s">
        <v>23</v>
      </c>
      <c r="C5" s="377" t="s">
        <v>183</v>
      </c>
      <c r="D5" s="378"/>
      <c r="E5" s="378"/>
      <c r="F5" s="378"/>
      <c r="G5" s="378"/>
      <c r="H5" s="392" t="s">
        <v>184</v>
      </c>
      <c r="I5" s="393"/>
      <c r="J5" s="393"/>
      <c r="K5" s="393"/>
      <c r="L5" s="393"/>
      <c r="M5" s="393"/>
      <c r="N5" s="393"/>
      <c r="O5" s="393"/>
      <c r="P5" s="393"/>
      <c r="Q5" s="382" t="s">
        <v>56</v>
      </c>
      <c r="R5" s="377" t="s">
        <v>177</v>
      </c>
      <c r="S5" s="378"/>
      <c r="T5" s="378"/>
      <c r="U5" s="378"/>
      <c r="V5" s="378"/>
      <c r="W5" s="378"/>
      <c r="X5" s="378"/>
      <c r="Y5" s="378"/>
      <c r="Z5" s="375" t="s">
        <v>55</v>
      </c>
      <c r="AA5" s="375"/>
      <c r="AB5" s="375"/>
      <c r="AC5" s="375"/>
      <c r="AD5" s="375"/>
      <c r="AE5" s="376"/>
      <c r="AF5" s="121"/>
      <c r="AG5" s="121"/>
      <c r="AH5" s="143"/>
    </row>
    <row r="6" spans="1:34" s="41" customFormat="1" ht="39" customHeight="1">
      <c r="A6" s="383"/>
      <c r="B6" s="385"/>
      <c r="C6" s="386" t="s">
        <v>270</v>
      </c>
      <c r="D6" s="387"/>
      <c r="E6" s="387"/>
      <c r="F6" s="387"/>
      <c r="G6" s="387"/>
      <c r="H6" s="388" t="s">
        <v>166</v>
      </c>
      <c r="I6" s="387"/>
      <c r="J6" s="387"/>
      <c r="K6" s="389"/>
      <c r="L6" s="386" t="s">
        <v>167</v>
      </c>
      <c r="M6" s="387"/>
      <c r="N6" s="387"/>
      <c r="O6" s="387"/>
      <c r="P6" s="387"/>
      <c r="Q6" s="383"/>
      <c r="R6" s="386" t="s">
        <v>185</v>
      </c>
      <c r="S6" s="395"/>
      <c r="T6" s="395"/>
      <c r="U6" s="395"/>
      <c r="V6" s="396"/>
      <c r="W6" s="386" t="s">
        <v>186</v>
      </c>
      <c r="X6" s="401"/>
      <c r="Y6" s="401"/>
      <c r="Z6" s="402" t="s">
        <v>62</v>
      </c>
      <c r="AA6" s="138" t="s">
        <v>101</v>
      </c>
      <c r="AB6" s="139"/>
      <c r="AC6" s="140"/>
      <c r="AD6" s="400" t="s">
        <v>182</v>
      </c>
      <c r="AE6" s="400" t="s">
        <v>181</v>
      </c>
      <c r="AF6" s="397" t="s">
        <v>102</v>
      </c>
      <c r="AG6" s="397" t="s">
        <v>103</v>
      </c>
      <c r="AH6" s="394" t="s">
        <v>100</v>
      </c>
    </row>
    <row r="7" spans="1:34" s="49" customFormat="1" ht="24" customHeight="1">
      <c r="A7" s="379" t="s">
        <v>53</v>
      </c>
      <c r="B7" s="365" t="s">
        <v>54</v>
      </c>
      <c r="C7" s="144" t="s">
        <v>132</v>
      </c>
      <c r="D7" s="145" t="s">
        <v>104</v>
      </c>
      <c r="E7" s="145" t="s">
        <v>35</v>
      </c>
      <c r="F7" s="145" t="s">
        <v>36</v>
      </c>
      <c r="G7" s="146" t="s">
        <v>37</v>
      </c>
      <c r="H7" s="145" t="s">
        <v>132</v>
      </c>
      <c r="I7" s="142" t="s">
        <v>38</v>
      </c>
      <c r="J7" s="142" t="s">
        <v>105</v>
      </c>
      <c r="K7" s="142" t="s">
        <v>39</v>
      </c>
      <c r="L7" s="144" t="s">
        <v>132</v>
      </c>
      <c r="M7" s="145" t="s">
        <v>40</v>
      </c>
      <c r="N7" s="145" t="s">
        <v>41</v>
      </c>
      <c r="O7" s="145" t="s">
        <v>42</v>
      </c>
      <c r="P7" s="146" t="s">
        <v>26</v>
      </c>
      <c r="Q7" s="379" t="s">
        <v>53</v>
      </c>
      <c r="R7" s="144" t="s">
        <v>132</v>
      </c>
      <c r="S7" s="142" t="s">
        <v>106</v>
      </c>
      <c r="T7" s="142" t="s">
        <v>107</v>
      </c>
      <c r="U7" s="142" t="s">
        <v>108</v>
      </c>
      <c r="V7" s="142" t="s">
        <v>109</v>
      </c>
      <c r="W7" s="144" t="s">
        <v>132</v>
      </c>
      <c r="X7" s="145" t="s">
        <v>110</v>
      </c>
      <c r="Y7" s="275" t="s">
        <v>111</v>
      </c>
      <c r="Z7" s="403"/>
      <c r="AA7" s="141" t="s">
        <v>133</v>
      </c>
      <c r="AB7" s="142" t="s">
        <v>112</v>
      </c>
      <c r="AC7" s="142" t="s">
        <v>113</v>
      </c>
      <c r="AD7" s="397"/>
      <c r="AE7" s="397"/>
      <c r="AF7" s="398"/>
      <c r="AG7" s="399"/>
      <c r="AH7" s="394"/>
    </row>
    <row r="8" spans="1:34" s="49" customFormat="1" ht="52.5" customHeight="1" thickBot="1">
      <c r="A8" s="380"/>
      <c r="B8" s="381"/>
      <c r="C8" s="82" t="s">
        <v>68</v>
      </c>
      <c r="D8" s="82" t="s">
        <v>114</v>
      </c>
      <c r="E8" s="82" t="s">
        <v>115</v>
      </c>
      <c r="F8" s="82" t="s">
        <v>116</v>
      </c>
      <c r="G8" s="84" t="s">
        <v>117</v>
      </c>
      <c r="H8" s="85" t="s">
        <v>68</v>
      </c>
      <c r="I8" s="82" t="s">
        <v>118</v>
      </c>
      <c r="J8" s="82" t="s">
        <v>119</v>
      </c>
      <c r="K8" s="82" t="s">
        <v>120</v>
      </c>
      <c r="L8" s="82" t="s">
        <v>68</v>
      </c>
      <c r="M8" s="82" t="s">
        <v>121</v>
      </c>
      <c r="N8" s="82" t="s">
        <v>122</v>
      </c>
      <c r="O8" s="83" t="s">
        <v>380</v>
      </c>
      <c r="P8" s="84" t="s">
        <v>123</v>
      </c>
      <c r="Q8" s="380"/>
      <c r="R8" s="82" t="s">
        <v>68</v>
      </c>
      <c r="S8" s="82" t="s">
        <v>124</v>
      </c>
      <c r="T8" s="82" t="s">
        <v>125</v>
      </c>
      <c r="U8" s="82" t="s">
        <v>126</v>
      </c>
      <c r="V8" s="82" t="s">
        <v>127</v>
      </c>
      <c r="W8" s="82" t="s">
        <v>68</v>
      </c>
      <c r="X8" s="82" t="s">
        <v>57</v>
      </c>
      <c r="Y8" s="84" t="s">
        <v>187</v>
      </c>
      <c r="Z8" s="85" t="s">
        <v>58</v>
      </c>
      <c r="AA8" s="82" t="s">
        <v>68</v>
      </c>
      <c r="AB8" s="82" t="s">
        <v>128</v>
      </c>
      <c r="AC8" s="82" t="s">
        <v>129</v>
      </c>
      <c r="AD8" s="82" t="s">
        <v>130</v>
      </c>
      <c r="AE8" s="82" t="s">
        <v>65</v>
      </c>
      <c r="AF8" s="83" t="s">
        <v>59</v>
      </c>
      <c r="AG8" s="82" t="s">
        <v>131</v>
      </c>
      <c r="AH8" s="84" t="s">
        <v>60</v>
      </c>
    </row>
    <row r="9" spans="1:34" ht="24" customHeight="1">
      <c r="A9" s="86" t="s">
        <v>346</v>
      </c>
      <c r="B9" s="271">
        <v>150996</v>
      </c>
      <c r="C9" s="252">
        <v>58377</v>
      </c>
      <c r="D9" s="252">
        <v>17481</v>
      </c>
      <c r="E9" s="252">
        <v>11188</v>
      </c>
      <c r="F9" s="252">
        <v>26604</v>
      </c>
      <c r="G9" s="252">
        <v>3104</v>
      </c>
      <c r="H9" s="252">
        <v>1985</v>
      </c>
      <c r="I9" s="252">
        <v>192</v>
      </c>
      <c r="J9" s="252">
        <v>0</v>
      </c>
      <c r="K9" s="252">
        <v>1793</v>
      </c>
      <c r="L9" s="252">
        <v>27912</v>
      </c>
      <c r="M9" s="252">
        <v>6510</v>
      </c>
      <c r="N9" s="252">
        <v>104</v>
      </c>
      <c r="O9" s="252">
        <v>2944</v>
      </c>
      <c r="P9" s="252">
        <v>18354</v>
      </c>
      <c r="Q9" s="86" t="s">
        <v>346</v>
      </c>
      <c r="R9" s="252">
        <v>8994</v>
      </c>
      <c r="S9" s="252">
        <v>0</v>
      </c>
      <c r="T9" s="252">
        <v>0</v>
      </c>
      <c r="U9" s="252">
        <v>0</v>
      </c>
      <c r="V9" s="252">
        <v>0</v>
      </c>
      <c r="W9" s="252">
        <v>7996</v>
      </c>
      <c r="X9" s="252">
        <v>139</v>
      </c>
      <c r="Y9" s="252">
        <v>7857</v>
      </c>
      <c r="Z9" s="252">
        <v>6415</v>
      </c>
      <c r="AA9" s="252">
        <v>0</v>
      </c>
      <c r="AB9" s="252">
        <v>0</v>
      </c>
      <c r="AC9" s="252">
        <v>0</v>
      </c>
      <c r="AD9" s="252">
        <v>0</v>
      </c>
      <c r="AE9" s="252">
        <v>1930</v>
      </c>
      <c r="AF9" s="252">
        <v>37387</v>
      </c>
      <c r="AG9" s="252">
        <v>0</v>
      </c>
      <c r="AH9" s="271">
        <v>20842</v>
      </c>
    </row>
    <row r="10" spans="1:34" ht="24" customHeight="1">
      <c r="A10" s="86" t="s">
        <v>347</v>
      </c>
      <c r="B10" s="271">
        <v>133893</v>
      </c>
      <c r="C10" s="252">
        <v>50902</v>
      </c>
      <c r="D10" s="252">
        <v>15063</v>
      </c>
      <c r="E10" s="252">
        <v>9684</v>
      </c>
      <c r="F10" s="252">
        <v>22922</v>
      </c>
      <c r="G10" s="252">
        <v>3233</v>
      </c>
      <c r="H10" s="252">
        <v>1697</v>
      </c>
      <c r="I10" s="252">
        <v>0</v>
      </c>
      <c r="J10" s="252">
        <v>0</v>
      </c>
      <c r="K10" s="252">
        <v>1697</v>
      </c>
      <c r="L10" s="252">
        <v>17663</v>
      </c>
      <c r="M10" s="252">
        <v>4268</v>
      </c>
      <c r="N10" s="252">
        <v>42</v>
      </c>
      <c r="O10" s="252">
        <v>2895</v>
      </c>
      <c r="P10" s="252">
        <v>10458</v>
      </c>
      <c r="Q10" s="86" t="s">
        <v>347</v>
      </c>
      <c r="R10" s="252">
        <v>8578</v>
      </c>
      <c r="S10" s="252">
        <v>0</v>
      </c>
      <c r="T10" s="252">
        <v>0</v>
      </c>
      <c r="U10" s="252">
        <v>0</v>
      </c>
      <c r="V10" s="252">
        <v>0</v>
      </c>
      <c r="W10" s="252">
        <v>9460</v>
      </c>
      <c r="X10" s="252">
        <v>113</v>
      </c>
      <c r="Y10" s="252">
        <v>9347</v>
      </c>
      <c r="Z10" s="252">
        <v>8337</v>
      </c>
      <c r="AA10" s="252">
        <v>0</v>
      </c>
      <c r="AB10" s="252">
        <v>0</v>
      </c>
      <c r="AC10" s="252">
        <v>0</v>
      </c>
      <c r="AD10" s="252">
        <v>0</v>
      </c>
      <c r="AE10" s="252">
        <v>1914</v>
      </c>
      <c r="AF10" s="252">
        <v>35342</v>
      </c>
      <c r="AG10" s="252">
        <v>0</v>
      </c>
      <c r="AH10" s="271">
        <v>29071</v>
      </c>
    </row>
    <row r="11" spans="1:34" ht="24" customHeight="1">
      <c r="A11" s="86" t="s">
        <v>348</v>
      </c>
      <c r="B11" s="271">
        <v>134208</v>
      </c>
      <c r="C11" s="252">
        <v>55841</v>
      </c>
      <c r="D11" s="252">
        <v>13301</v>
      </c>
      <c r="E11" s="252">
        <v>15677</v>
      </c>
      <c r="F11" s="252">
        <v>23512</v>
      </c>
      <c r="G11" s="252">
        <v>3351</v>
      </c>
      <c r="H11" s="252">
        <v>3286</v>
      </c>
      <c r="I11" s="252">
        <v>0</v>
      </c>
      <c r="J11" s="252">
        <v>0</v>
      </c>
      <c r="K11" s="252">
        <v>3286</v>
      </c>
      <c r="L11" s="252">
        <v>44873</v>
      </c>
      <c r="M11" s="252">
        <v>7138</v>
      </c>
      <c r="N11" s="252">
        <v>32</v>
      </c>
      <c r="O11" s="252">
        <v>3085</v>
      </c>
      <c r="P11" s="252">
        <v>34618</v>
      </c>
      <c r="Q11" s="86" t="s">
        <v>348</v>
      </c>
      <c r="R11" s="252">
        <v>8838</v>
      </c>
      <c r="S11" s="252">
        <v>0</v>
      </c>
      <c r="T11" s="252">
        <v>0</v>
      </c>
      <c r="U11" s="252">
        <v>0</v>
      </c>
      <c r="V11" s="252">
        <v>0</v>
      </c>
      <c r="W11" s="252">
        <v>7957</v>
      </c>
      <c r="X11" s="252">
        <v>107</v>
      </c>
      <c r="Y11" s="252">
        <v>7850</v>
      </c>
      <c r="Z11" s="252">
        <v>7642</v>
      </c>
      <c r="AA11" s="252">
        <v>0</v>
      </c>
      <c r="AB11" s="252">
        <v>0</v>
      </c>
      <c r="AC11" s="252">
        <v>0</v>
      </c>
      <c r="AD11" s="252">
        <v>0</v>
      </c>
      <c r="AE11" s="252">
        <v>2715</v>
      </c>
      <c r="AF11" s="252">
        <v>3056</v>
      </c>
      <c r="AG11" s="252">
        <v>0</v>
      </c>
      <c r="AH11" s="271">
        <v>63195</v>
      </c>
    </row>
    <row r="12" spans="1:34" ht="24" customHeight="1">
      <c r="A12" s="86" t="s">
        <v>350</v>
      </c>
      <c r="B12" s="271">
        <v>163968</v>
      </c>
      <c r="C12" s="252">
        <v>53109</v>
      </c>
      <c r="D12" s="252">
        <v>14010</v>
      </c>
      <c r="E12" s="252">
        <v>11827</v>
      </c>
      <c r="F12" s="252">
        <v>24090</v>
      </c>
      <c r="G12" s="252">
        <v>3182</v>
      </c>
      <c r="H12" s="252">
        <v>2216</v>
      </c>
      <c r="I12" s="252">
        <v>0</v>
      </c>
      <c r="J12" s="252">
        <v>0</v>
      </c>
      <c r="K12" s="252">
        <v>2216</v>
      </c>
      <c r="L12" s="252">
        <v>68569</v>
      </c>
      <c r="M12" s="252">
        <v>7559</v>
      </c>
      <c r="N12" s="252">
        <v>28</v>
      </c>
      <c r="O12" s="252">
        <v>11277</v>
      </c>
      <c r="P12" s="252">
        <v>49705</v>
      </c>
      <c r="Q12" s="86" t="s">
        <v>350</v>
      </c>
      <c r="R12" s="252">
        <v>8516</v>
      </c>
      <c r="S12" s="252">
        <v>0</v>
      </c>
      <c r="T12" s="252">
        <v>0</v>
      </c>
      <c r="U12" s="252">
        <v>8516</v>
      </c>
      <c r="V12" s="252">
        <v>0</v>
      </c>
      <c r="W12" s="252">
        <v>8680</v>
      </c>
      <c r="X12" s="252">
        <v>350</v>
      </c>
      <c r="Y12" s="252">
        <v>8330</v>
      </c>
      <c r="Z12" s="252">
        <v>7386</v>
      </c>
      <c r="AA12" s="252">
        <v>0</v>
      </c>
      <c r="AB12" s="252">
        <v>0</v>
      </c>
      <c r="AC12" s="252">
        <v>0</v>
      </c>
      <c r="AD12" s="252">
        <v>0</v>
      </c>
      <c r="AE12" s="252">
        <v>1551</v>
      </c>
      <c r="AF12" s="252">
        <v>13941</v>
      </c>
      <c r="AG12" s="252">
        <v>0</v>
      </c>
      <c r="AH12" s="271">
        <v>82398</v>
      </c>
    </row>
    <row r="13" spans="1:34" ht="24" customHeight="1">
      <c r="A13" s="86" t="s">
        <v>379</v>
      </c>
      <c r="B13" s="271">
        <v>139351</v>
      </c>
      <c r="C13" s="252">
        <v>57877</v>
      </c>
      <c r="D13" s="252">
        <v>14081</v>
      </c>
      <c r="E13" s="252">
        <v>13037</v>
      </c>
      <c r="F13" s="252">
        <v>27311</v>
      </c>
      <c r="G13" s="252">
        <v>3448</v>
      </c>
      <c r="H13" s="252">
        <v>1467</v>
      </c>
      <c r="I13" s="252">
        <v>0</v>
      </c>
      <c r="J13" s="252">
        <v>0</v>
      </c>
      <c r="K13" s="252">
        <v>1467</v>
      </c>
      <c r="L13" s="252">
        <v>48901</v>
      </c>
      <c r="M13" s="252">
        <v>5670</v>
      </c>
      <c r="N13" s="252">
        <v>19</v>
      </c>
      <c r="O13" s="252">
        <v>3091</v>
      </c>
      <c r="P13" s="252">
        <v>40121</v>
      </c>
      <c r="Q13" s="86" t="s">
        <v>379</v>
      </c>
      <c r="R13" s="252">
        <v>8771</v>
      </c>
      <c r="S13" s="252">
        <v>0</v>
      </c>
      <c r="T13" s="252">
        <v>0</v>
      </c>
      <c r="U13" s="252">
        <v>8771</v>
      </c>
      <c r="V13" s="252">
        <v>0</v>
      </c>
      <c r="W13" s="252">
        <v>9097</v>
      </c>
      <c r="X13" s="252">
        <v>104</v>
      </c>
      <c r="Y13" s="252">
        <v>8993</v>
      </c>
      <c r="Z13" s="252">
        <v>9697</v>
      </c>
      <c r="AA13" s="252">
        <v>0</v>
      </c>
      <c r="AB13" s="252">
        <v>0</v>
      </c>
      <c r="AC13" s="252">
        <v>0</v>
      </c>
      <c r="AD13" s="252">
        <v>0</v>
      </c>
      <c r="AE13" s="252">
        <v>1362</v>
      </c>
      <c r="AF13" s="252">
        <v>2179</v>
      </c>
      <c r="AG13" s="252">
        <v>0</v>
      </c>
      <c r="AH13" s="271">
        <v>94329</v>
      </c>
    </row>
    <row r="14" spans="1:34" ht="24" customHeight="1">
      <c r="A14" s="86" t="s">
        <v>382</v>
      </c>
      <c r="B14" s="271">
        <v>185206</v>
      </c>
      <c r="C14" s="252">
        <v>73478</v>
      </c>
      <c r="D14" s="252">
        <v>14282</v>
      </c>
      <c r="E14" s="252">
        <v>18906</v>
      </c>
      <c r="F14" s="252">
        <v>36447</v>
      </c>
      <c r="G14" s="252">
        <v>3843</v>
      </c>
      <c r="H14" s="252">
        <v>1331</v>
      </c>
      <c r="I14" s="252">
        <v>0</v>
      </c>
      <c r="J14" s="252">
        <v>0</v>
      </c>
      <c r="K14" s="252">
        <v>1332</v>
      </c>
      <c r="L14" s="252">
        <v>64387</v>
      </c>
      <c r="M14" s="252">
        <v>5575</v>
      </c>
      <c r="N14" s="252">
        <v>51</v>
      </c>
      <c r="O14" s="252">
        <v>3789</v>
      </c>
      <c r="P14" s="252">
        <v>54972</v>
      </c>
      <c r="Q14" s="86" t="s">
        <v>382</v>
      </c>
      <c r="R14" s="252">
        <v>9535</v>
      </c>
      <c r="S14" s="252">
        <v>0</v>
      </c>
      <c r="T14" s="252">
        <v>0</v>
      </c>
      <c r="U14" s="252">
        <v>9535</v>
      </c>
      <c r="V14" s="252">
        <v>0</v>
      </c>
      <c r="W14" s="252">
        <v>10151</v>
      </c>
      <c r="X14" s="252">
        <v>135</v>
      </c>
      <c r="Y14" s="252">
        <v>10016</v>
      </c>
      <c r="Z14" s="252">
        <v>6282</v>
      </c>
      <c r="AA14" s="252">
        <v>0</v>
      </c>
      <c r="AB14" s="252">
        <v>0</v>
      </c>
      <c r="AC14" s="252">
        <v>0</v>
      </c>
      <c r="AD14" s="252">
        <v>0</v>
      </c>
      <c r="AE14" s="252">
        <v>1269</v>
      </c>
      <c r="AF14" s="252">
        <v>18773</v>
      </c>
      <c r="AG14" s="252">
        <v>0</v>
      </c>
      <c r="AH14" s="271">
        <v>68922</v>
      </c>
    </row>
    <row r="15" spans="1:34" ht="24" customHeight="1">
      <c r="A15" s="86" t="s">
        <v>392</v>
      </c>
      <c r="B15" s="271">
        <v>176474</v>
      </c>
      <c r="C15" s="252">
        <v>62304</v>
      </c>
      <c r="D15" s="252">
        <v>14181</v>
      </c>
      <c r="E15" s="252">
        <v>15172</v>
      </c>
      <c r="F15" s="252">
        <v>29315</v>
      </c>
      <c r="G15" s="252">
        <v>3636</v>
      </c>
      <c r="H15" s="252">
        <v>6016</v>
      </c>
      <c r="I15" s="252">
        <v>4434</v>
      </c>
      <c r="J15" s="252">
        <v>0</v>
      </c>
      <c r="K15" s="252">
        <v>1582</v>
      </c>
      <c r="L15" s="252">
        <v>67937</v>
      </c>
      <c r="M15" s="252">
        <v>5389</v>
      </c>
      <c r="N15" s="252">
        <v>446</v>
      </c>
      <c r="O15" s="252">
        <v>0</v>
      </c>
      <c r="P15" s="252">
        <v>62102</v>
      </c>
      <c r="Q15" s="86" t="s">
        <v>392</v>
      </c>
      <c r="R15" s="252">
        <v>5059</v>
      </c>
      <c r="S15" s="252">
        <v>394</v>
      </c>
      <c r="T15" s="252">
        <v>0</v>
      </c>
      <c r="U15" s="252">
        <v>4665</v>
      </c>
      <c r="V15" s="252">
        <v>0</v>
      </c>
      <c r="W15" s="252">
        <v>10818</v>
      </c>
      <c r="X15" s="252">
        <v>227</v>
      </c>
      <c r="Y15" s="252">
        <v>10591</v>
      </c>
      <c r="Z15" s="252">
        <v>6538</v>
      </c>
      <c r="AA15" s="252">
        <v>0</v>
      </c>
      <c r="AB15" s="252">
        <v>0</v>
      </c>
      <c r="AC15" s="252">
        <v>0</v>
      </c>
      <c r="AD15" s="252">
        <v>0</v>
      </c>
      <c r="AE15" s="252">
        <v>902</v>
      </c>
      <c r="AF15" s="252">
        <v>16900</v>
      </c>
      <c r="AG15" s="252">
        <v>0</v>
      </c>
      <c r="AH15" s="271">
        <v>81677</v>
      </c>
    </row>
    <row r="16" spans="1:34" ht="24" customHeight="1">
      <c r="A16" s="86" t="s">
        <v>398</v>
      </c>
      <c r="B16" s="271">
        <v>143300</v>
      </c>
      <c r="C16" s="252">
        <v>65499</v>
      </c>
      <c r="D16" s="252">
        <v>15004</v>
      </c>
      <c r="E16" s="252">
        <v>17400</v>
      </c>
      <c r="F16" s="252">
        <v>29337</v>
      </c>
      <c r="G16" s="252">
        <v>3758</v>
      </c>
      <c r="H16" s="252">
        <v>5890</v>
      </c>
      <c r="I16" s="252">
        <v>4280</v>
      </c>
      <c r="J16" s="252">
        <v>0</v>
      </c>
      <c r="K16" s="252">
        <v>1610</v>
      </c>
      <c r="L16" s="252">
        <v>37514</v>
      </c>
      <c r="M16" s="252">
        <v>5323</v>
      </c>
      <c r="N16" s="252">
        <v>16</v>
      </c>
      <c r="O16" s="252">
        <v>0</v>
      </c>
      <c r="P16" s="252">
        <v>32175</v>
      </c>
      <c r="Q16" s="86" t="s">
        <v>398</v>
      </c>
      <c r="R16" s="252">
        <v>6661</v>
      </c>
      <c r="S16" s="252">
        <v>395</v>
      </c>
      <c r="T16" s="252">
        <v>0</v>
      </c>
      <c r="U16" s="252">
        <v>6266</v>
      </c>
      <c r="V16" s="252">
        <v>0</v>
      </c>
      <c r="W16" s="252">
        <v>10208</v>
      </c>
      <c r="X16" s="252">
        <v>178</v>
      </c>
      <c r="Y16" s="252">
        <v>10030</v>
      </c>
      <c r="Z16" s="252">
        <v>6441</v>
      </c>
      <c r="AA16" s="252">
        <v>0</v>
      </c>
      <c r="AB16" s="252">
        <v>0</v>
      </c>
      <c r="AC16" s="252">
        <v>0</v>
      </c>
      <c r="AD16" s="252">
        <v>0</v>
      </c>
      <c r="AE16" s="252">
        <v>2080</v>
      </c>
      <c r="AF16" s="252">
        <v>9007</v>
      </c>
      <c r="AG16" s="252">
        <v>0</v>
      </c>
      <c r="AH16" s="271">
        <v>111942</v>
      </c>
    </row>
    <row r="17" spans="1:34" s="254" customFormat="1" ht="24.75" customHeight="1">
      <c r="A17" s="319" t="s">
        <v>399</v>
      </c>
      <c r="B17" s="271">
        <v>210602</v>
      </c>
      <c r="C17" s="252">
        <v>66094</v>
      </c>
      <c r="D17" s="252">
        <v>14265</v>
      </c>
      <c r="E17" s="252">
        <v>19558</v>
      </c>
      <c r="F17" s="252">
        <v>28442</v>
      </c>
      <c r="G17" s="252">
        <v>3829</v>
      </c>
      <c r="H17" s="252">
        <v>6665</v>
      </c>
      <c r="I17" s="252">
        <v>4959</v>
      </c>
      <c r="J17" s="252">
        <f>SUM(J18:J29)</f>
        <v>0</v>
      </c>
      <c r="K17" s="252">
        <v>1706</v>
      </c>
      <c r="L17" s="252">
        <v>86083</v>
      </c>
      <c r="M17" s="252">
        <v>5886</v>
      </c>
      <c r="N17" s="252">
        <v>10</v>
      </c>
      <c r="O17" s="252">
        <f>SUM(O18:O29)</f>
        <v>0</v>
      </c>
      <c r="P17" s="252">
        <v>80187</v>
      </c>
      <c r="Q17" s="319" t="s">
        <v>404</v>
      </c>
      <c r="R17" s="252">
        <v>4999</v>
      </c>
      <c r="S17" s="252">
        <v>323</v>
      </c>
      <c r="T17" s="252">
        <f aca="true" t="shared" si="0" ref="T17:AG18">SUM(T18:T29)</f>
        <v>0</v>
      </c>
      <c r="U17" s="252">
        <v>4676</v>
      </c>
      <c r="V17" s="252">
        <f t="shared" si="0"/>
        <v>0</v>
      </c>
      <c r="W17" s="252">
        <v>11307</v>
      </c>
      <c r="X17" s="252">
        <v>208</v>
      </c>
      <c r="Y17" s="252">
        <v>11099</v>
      </c>
      <c r="Z17" s="252">
        <v>6356</v>
      </c>
      <c r="AA17" s="252">
        <f t="shared" si="0"/>
        <v>0</v>
      </c>
      <c r="AB17" s="252">
        <f t="shared" si="0"/>
        <v>0</v>
      </c>
      <c r="AC17" s="252">
        <f t="shared" si="0"/>
        <v>0</v>
      </c>
      <c r="AD17" s="252">
        <f t="shared" si="0"/>
        <v>0</v>
      </c>
      <c r="AE17" s="252">
        <v>2302</v>
      </c>
      <c r="AF17" s="252">
        <v>26796</v>
      </c>
      <c r="AG17" s="252">
        <f t="shared" si="0"/>
        <v>0</v>
      </c>
      <c r="AH17" s="271">
        <v>125704</v>
      </c>
    </row>
    <row r="18" spans="1:34" s="254" customFormat="1" ht="24.75" customHeight="1">
      <c r="A18" s="319" t="s">
        <v>407</v>
      </c>
      <c r="B18" s="271">
        <f aca="true" t="shared" si="1" ref="B18:B24">C18+H18+L18+R18+W18+Z18+AA18+AD18+AE18+AF18</f>
        <v>202241</v>
      </c>
      <c r="C18" s="252">
        <f>SUM(C19:C30)</f>
        <v>71443</v>
      </c>
      <c r="D18" s="252">
        <f aca="true" t="shared" si="2" ref="D18:N18">SUM(D19:D30)</f>
        <v>14644</v>
      </c>
      <c r="E18" s="252">
        <f t="shared" si="2"/>
        <v>16151</v>
      </c>
      <c r="F18" s="252">
        <f t="shared" si="2"/>
        <v>36585</v>
      </c>
      <c r="G18" s="252">
        <f t="shared" si="2"/>
        <v>4063</v>
      </c>
      <c r="H18" s="252">
        <f t="shared" si="2"/>
        <v>7763</v>
      </c>
      <c r="I18" s="252">
        <f t="shared" si="2"/>
        <v>5986</v>
      </c>
      <c r="J18" s="252">
        <f t="shared" si="2"/>
        <v>0</v>
      </c>
      <c r="K18" s="252">
        <f t="shared" si="2"/>
        <v>1777</v>
      </c>
      <c r="L18" s="252">
        <f t="shared" si="2"/>
        <v>67781</v>
      </c>
      <c r="M18" s="252">
        <f t="shared" si="2"/>
        <v>7375</v>
      </c>
      <c r="N18" s="252">
        <f t="shared" si="2"/>
        <v>511</v>
      </c>
      <c r="O18" s="252">
        <f>SUM(O19:O30)</f>
        <v>0</v>
      </c>
      <c r="P18" s="252">
        <f>SUM(P19:P30)</f>
        <v>59895</v>
      </c>
      <c r="Q18" s="319" t="s">
        <v>416</v>
      </c>
      <c r="R18" s="252">
        <f>SUM(R19:R30)</f>
        <v>5888</v>
      </c>
      <c r="S18" s="252">
        <f>SUM(S19:S30)</f>
        <v>364</v>
      </c>
      <c r="T18" s="252">
        <f t="shared" si="0"/>
        <v>0</v>
      </c>
      <c r="U18" s="252">
        <f>SUM(U19:U30)</f>
        <v>5524</v>
      </c>
      <c r="V18" s="252">
        <f t="shared" si="0"/>
        <v>0</v>
      </c>
      <c r="W18" s="252">
        <f>SUM(W19:W30)</f>
        <v>12711</v>
      </c>
      <c r="X18" s="252">
        <f>SUM(X19:X30)</f>
        <v>288</v>
      </c>
      <c r="Y18" s="252">
        <f>SUM(Y19:Y30)</f>
        <v>12423</v>
      </c>
      <c r="Z18" s="252">
        <f>SUM(Z19:Z30)</f>
        <v>7024</v>
      </c>
      <c r="AA18" s="252">
        <f t="shared" si="0"/>
        <v>0</v>
      </c>
      <c r="AB18" s="252">
        <f t="shared" si="0"/>
        <v>0</v>
      </c>
      <c r="AC18" s="252">
        <f t="shared" si="0"/>
        <v>0</v>
      </c>
      <c r="AD18" s="252">
        <f t="shared" si="0"/>
        <v>0</v>
      </c>
      <c r="AE18" s="252">
        <f>SUM(AE19:AE30)</f>
        <v>1705</v>
      </c>
      <c r="AF18" s="252">
        <f>SUM(AF19:AF30)</f>
        <v>27926</v>
      </c>
      <c r="AG18" s="252">
        <f t="shared" si="0"/>
        <v>0</v>
      </c>
      <c r="AH18" s="271">
        <f>AH30</f>
        <v>138329</v>
      </c>
    </row>
    <row r="19" spans="1:34" s="254" customFormat="1" ht="24.75" customHeight="1">
      <c r="A19" s="251" t="s">
        <v>257</v>
      </c>
      <c r="B19" s="271">
        <f t="shared" si="1"/>
        <v>5952</v>
      </c>
      <c r="C19" s="252">
        <f>SUM(D19:G19)</f>
        <v>3740</v>
      </c>
      <c r="D19" s="271">
        <f>ROUND(D35/1000,0)-1</f>
        <v>1633</v>
      </c>
      <c r="E19" s="271">
        <f>ROUND(E35/1000,0)+1</f>
        <v>747</v>
      </c>
      <c r="F19" s="271">
        <f aca="true" t="shared" si="3" ref="D19:G24">ROUND(F35/1000,0)</f>
        <v>1095</v>
      </c>
      <c r="G19" s="271">
        <f t="shared" si="3"/>
        <v>265</v>
      </c>
      <c r="H19" s="252">
        <f aca="true" t="shared" si="4" ref="H19:H24">SUM(I19:K19)</f>
        <v>195</v>
      </c>
      <c r="I19" s="271">
        <f aca="true" t="shared" si="5" ref="I19:I30">ROUND(I35/1000,0)</f>
        <v>195</v>
      </c>
      <c r="J19" s="271">
        <v>0</v>
      </c>
      <c r="K19" s="271">
        <f aca="true" t="shared" si="6" ref="K19:K30">ROUND(K35/1000,0)</f>
        <v>0</v>
      </c>
      <c r="L19" s="271">
        <f aca="true" t="shared" si="7" ref="L19:L25">SUM(M19:P19)</f>
        <v>646</v>
      </c>
      <c r="M19" s="271">
        <f aca="true" t="shared" si="8" ref="M19:P27">ROUND(M35/1000,0)</f>
        <v>239</v>
      </c>
      <c r="N19" s="271">
        <f t="shared" si="8"/>
        <v>0</v>
      </c>
      <c r="O19" s="271">
        <f t="shared" si="8"/>
        <v>0</v>
      </c>
      <c r="P19" s="271">
        <f t="shared" si="8"/>
        <v>407</v>
      </c>
      <c r="Q19" s="251" t="s">
        <v>257</v>
      </c>
      <c r="R19" s="271">
        <f aca="true" t="shared" si="9" ref="R19:R25">SUM(S19:V19)</f>
        <v>226</v>
      </c>
      <c r="S19" s="271">
        <f aca="true" t="shared" si="10" ref="S19:U24">ROUND(S35/1000,0)</f>
        <v>0</v>
      </c>
      <c r="T19" s="271">
        <f t="shared" si="10"/>
        <v>0</v>
      </c>
      <c r="U19" s="271">
        <f t="shared" si="10"/>
        <v>226</v>
      </c>
      <c r="V19" s="271">
        <v>0</v>
      </c>
      <c r="W19" s="271">
        <f aca="true" t="shared" si="11" ref="W19:W25">SUM(X19:Y19)</f>
        <v>562</v>
      </c>
      <c r="X19" s="271">
        <f aca="true" t="shared" si="12" ref="X19:Z22">ROUND(X35/1000,0)</f>
        <v>0</v>
      </c>
      <c r="Y19" s="271">
        <f t="shared" si="12"/>
        <v>562</v>
      </c>
      <c r="Z19" s="271">
        <f t="shared" si="12"/>
        <v>367</v>
      </c>
      <c r="AA19" s="271">
        <f>SUM(AB19:AC19)</f>
        <v>0</v>
      </c>
      <c r="AB19" s="252">
        <v>0</v>
      </c>
      <c r="AC19" s="271">
        <v>0</v>
      </c>
      <c r="AD19" s="271">
        <v>0</v>
      </c>
      <c r="AE19" s="271">
        <f aca="true" t="shared" si="13" ref="AE19:AF24">ROUND(AE35/1000,0)</f>
        <v>0</v>
      </c>
      <c r="AF19" s="271">
        <f t="shared" si="13"/>
        <v>216</v>
      </c>
      <c r="AG19" s="271">
        <v>0</v>
      </c>
      <c r="AH19" s="271">
        <f aca="true" t="shared" si="14" ref="AH19:AH24">ROUND(AH35/1000,0)</f>
        <v>135329</v>
      </c>
    </row>
    <row r="20" spans="1:34" s="254" customFormat="1" ht="24.75" customHeight="1">
      <c r="A20" s="251" t="s">
        <v>168</v>
      </c>
      <c r="B20" s="271">
        <f t="shared" si="1"/>
        <v>19560</v>
      </c>
      <c r="C20" s="252">
        <f>SUM(D20:G20)</f>
        <v>8950</v>
      </c>
      <c r="D20" s="271">
        <f t="shared" si="3"/>
        <v>2415</v>
      </c>
      <c r="E20" s="271">
        <f t="shared" si="3"/>
        <v>2196</v>
      </c>
      <c r="F20" s="271">
        <f t="shared" si="3"/>
        <v>3436</v>
      </c>
      <c r="G20" s="271">
        <f t="shared" si="3"/>
        <v>903</v>
      </c>
      <c r="H20" s="252">
        <f t="shared" si="4"/>
        <v>851</v>
      </c>
      <c r="I20" s="271">
        <f>ROUND(I36/1000,0)</f>
        <v>760</v>
      </c>
      <c r="J20" s="271">
        <v>0</v>
      </c>
      <c r="K20" s="271">
        <f aca="true" t="shared" si="15" ref="K20:K25">ROUND(K36/1000,0)</f>
        <v>91</v>
      </c>
      <c r="L20" s="271">
        <f t="shared" si="7"/>
        <v>2580</v>
      </c>
      <c r="M20" s="271">
        <f aca="true" t="shared" si="16" ref="M20:M25">ROUND(M36/1000,0)</f>
        <v>905</v>
      </c>
      <c r="N20" s="271">
        <f t="shared" si="8"/>
        <v>0</v>
      </c>
      <c r="O20" s="271">
        <f t="shared" si="8"/>
        <v>0</v>
      </c>
      <c r="P20" s="271">
        <f>ROUND(P36/1000,0)-1</f>
        <v>1675</v>
      </c>
      <c r="Q20" s="251" t="s">
        <v>258</v>
      </c>
      <c r="R20" s="271">
        <f t="shared" si="9"/>
        <v>749</v>
      </c>
      <c r="S20" s="271">
        <f t="shared" si="10"/>
        <v>42</v>
      </c>
      <c r="T20" s="271">
        <f t="shared" si="10"/>
        <v>0</v>
      </c>
      <c r="U20" s="271">
        <f t="shared" si="10"/>
        <v>707</v>
      </c>
      <c r="V20" s="271">
        <v>0</v>
      </c>
      <c r="W20" s="271">
        <f t="shared" si="11"/>
        <v>1970</v>
      </c>
      <c r="X20" s="271">
        <f t="shared" si="12"/>
        <v>0</v>
      </c>
      <c r="Y20" s="271">
        <f>ROUND(Y36/1000,0)-1</f>
        <v>1970</v>
      </c>
      <c r="Z20" s="271">
        <f t="shared" si="12"/>
        <v>389</v>
      </c>
      <c r="AA20" s="271">
        <f aca="true" t="shared" si="17" ref="AA20:AA30">SUM(AB20:AC20)</f>
        <v>0</v>
      </c>
      <c r="AB20" s="252">
        <v>0</v>
      </c>
      <c r="AC20" s="271">
        <v>0</v>
      </c>
      <c r="AD20" s="271">
        <v>0</v>
      </c>
      <c r="AE20" s="271">
        <f t="shared" si="13"/>
        <v>0</v>
      </c>
      <c r="AF20" s="271">
        <f t="shared" si="13"/>
        <v>4071</v>
      </c>
      <c r="AG20" s="271">
        <v>0</v>
      </c>
      <c r="AH20" s="271">
        <f t="shared" si="14"/>
        <v>130909</v>
      </c>
    </row>
    <row r="21" spans="1:34" s="254" customFormat="1" ht="24.75" customHeight="1">
      <c r="A21" s="251" t="s">
        <v>169</v>
      </c>
      <c r="B21" s="271">
        <f t="shared" si="1"/>
        <v>15108</v>
      </c>
      <c r="C21" s="252">
        <f>SUM(D21:G21)</f>
        <v>3937</v>
      </c>
      <c r="D21" s="271">
        <f t="shared" si="3"/>
        <v>963</v>
      </c>
      <c r="E21" s="271">
        <f t="shared" si="3"/>
        <v>1146</v>
      </c>
      <c r="F21" s="271">
        <f t="shared" si="3"/>
        <v>1571</v>
      </c>
      <c r="G21" s="271">
        <f t="shared" si="3"/>
        <v>257</v>
      </c>
      <c r="H21" s="252">
        <f t="shared" si="4"/>
        <v>310</v>
      </c>
      <c r="I21" s="271">
        <f>ROUND(I37/1000,0)</f>
        <v>282</v>
      </c>
      <c r="J21" s="271">
        <v>0</v>
      </c>
      <c r="K21" s="271">
        <f t="shared" si="15"/>
        <v>28</v>
      </c>
      <c r="L21" s="271">
        <f t="shared" si="7"/>
        <v>1281</v>
      </c>
      <c r="M21" s="271">
        <f t="shared" si="16"/>
        <v>347</v>
      </c>
      <c r="N21" s="271">
        <f>ROUND(N37/1000,0)</f>
        <v>0</v>
      </c>
      <c r="O21" s="271">
        <f t="shared" si="8"/>
        <v>0</v>
      </c>
      <c r="P21" s="271">
        <f>ROUND(P37/1000,0)</f>
        <v>934</v>
      </c>
      <c r="Q21" s="251" t="s">
        <v>259</v>
      </c>
      <c r="R21" s="271">
        <f t="shared" si="9"/>
        <v>256</v>
      </c>
      <c r="S21" s="271">
        <f t="shared" si="10"/>
        <v>29</v>
      </c>
      <c r="T21" s="271">
        <f t="shared" si="10"/>
        <v>0</v>
      </c>
      <c r="U21" s="271">
        <f t="shared" si="10"/>
        <v>227</v>
      </c>
      <c r="V21" s="271">
        <v>0</v>
      </c>
      <c r="W21" s="271">
        <f t="shared" si="11"/>
        <v>831</v>
      </c>
      <c r="X21" s="271">
        <f t="shared" si="12"/>
        <v>20</v>
      </c>
      <c r="Y21" s="271">
        <f t="shared" si="12"/>
        <v>811</v>
      </c>
      <c r="Z21" s="271">
        <f t="shared" si="12"/>
        <v>2203</v>
      </c>
      <c r="AA21" s="271">
        <f t="shared" si="17"/>
        <v>0</v>
      </c>
      <c r="AB21" s="252">
        <v>0</v>
      </c>
      <c r="AC21" s="271">
        <v>0</v>
      </c>
      <c r="AD21" s="271">
        <v>0</v>
      </c>
      <c r="AE21" s="271">
        <f t="shared" si="13"/>
        <v>100</v>
      </c>
      <c r="AF21" s="271">
        <f t="shared" si="13"/>
        <v>6190</v>
      </c>
      <c r="AG21" s="271">
        <v>0</v>
      </c>
      <c r="AH21" s="271">
        <f t="shared" si="14"/>
        <v>147869</v>
      </c>
    </row>
    <row r="22" spans="1:34" s="254" customFormat="1" ht="24.75" customHeight="1">
      <c r="A22" s="251" t="s">
        <v>170</v>
      </c>
      <c r="B22" s="271">
        <f t="shared" si="1"/>
        <v>12882</v>
      </c>
      <c r="C22" s="252">
        <f>SUM(D22:G22)</f>
        <v>4484</v>
      </c>
      <c r="D22" s="271">
        <f t="shared" si="3"/>
        <v>1613</v>
      </c>
      <c r="E22" s="271">
        <f>ROUND(E38/1000,0)+1</f>
        <v>784</v>
      </c>
      <c r="F22" s="271">
        <f>ROUND(F38/1000,0)+1</f>
        <v>1814</v>
      </c>
      <c r="G22" s="271">
        <f t="shared" si="3"/>
        <v>273</v>
      </c>
      <c r="H22" s="252">
        <f t="shared" si="4"/>
        <v>408</v>
      </c>
      <c r="I22" s="271">
        <f>ROUND(I38/1000,0)+1</f>
        <v>374</v>
      </c>
      <c r="J22" s="271">
        <v>0</v>
      </c>
      <c r="K22" s="271">
        <f t="shared" si="15"/>
        <v>34</v>
      </c>
      <c r="L22" s="271">
        <f t="shared" si="7"/>
        <v>1723</v>
      </c>
      <c r="M22" s="271">
        <f t="shared" si="16"/>
        <v>393</v>
      </c>
      <c r="N22" s="271">
        <f>ROUND(N38/1000,0)+1</f>
        <v>2</v>
      </c>
      <c r="O22" s="271">
        <f t="shared" si="8"/>
        <v>0</v>
      </c>
      <c r="P22" s="271">
        <f>ROUND(P38/1000,0)+1</f>
        <v>1328</v>
      </c>
      <c r="Q22" s="251" t="s">
        <v>260</v>
      </c>
      <c r="R22" s="271">
        <f t="shared" si="9"/>
        <v>294</v>
      </c>
      <c r="S22" s="271">
        <f t="shared" si="10"/>
        <v>29</v>
      </c>
      <c r="T22" s="271">
        <f t="shared" si="10"/>
        <v>0</v>
      </c>
      <c r="U22" s="271">
        <f t="shared" si="10"/>
        <v>265</v>
      </c>
      <c r="V22" s="271">
        <v>0</v>
      </c>
      <c r="W22" s="271">
        <f t="shared" si="11"/>
        <v>708</v>
      </c>
      <c r="X22" s="271">
        <f t="shared" si="12"/>
        <v>0</v>
      </c>
      <c r="Y22" s="271">
        <f t="shared" si="12"/>
        <v>708</v>
      </c>
      <c r="Z22" s="271">
        <f>ROUND(Z38/1000,0)+1</f>
        <v>379</v>
      </c>
      <c r="AA22" s="271">
        <f t="shared" si="17"/>
        <v>0</v>
      </c>
      <c r="AB22" s="252">
        <v>0</v>
      </c>
      <c r="AC22" s="252">
        <v>0</v>
      </c>
      <c r="AD22" s="271">
        <v>0</v>
      </c>
      <c r="AE22" s="271">
        <f t="shared" si="13"/>
        <v>0</v>
      </c>
      <c r="AF22" s="271">
        <f t="shared" si="13"/>
        <v>4886</v>
      </c>
      <c r="AG22" s="271">
        <v>0</v>
      </c>
      <c r="AH22" s="271">
        <f t="shared" si="14"/>
        <v>154539</v>
      </c>
    </row>
    <row r="23" spans="1:34" s="254" customFormat="1" ht="24.75" customHeight="1">
      <c r="A23" s="251" t="s">
        <v>171</v>
      </c>
      <c r="B23" s="271">
        <f t="shared" si="1"/>
        <v>17910</v>
      </c>
      <c r="C23" s="252">
        <f>SUM(D23:G23)</f>
        <v>4281</v>
      </c>
      <c r="D23" s="271">
        <f t="shared" si="3"/>
        <v>998</v>
      </c>
      <c r="E23" s="271">
        <f t="shared" si="3"/>
        <v>1149</v>
      </c>
      <c r="F23" s="271">
        <f t="shared" si="3"/>
        <v>1888</v>
      </c>
      <c r="G23" s="271">
        <f t="shared" si="3"/>
        <v>246</v>
      </c>
      <c r="H23" s="252">
        <f t="shared" si="4"/>
        <v>354</v>
      </c>
      <c r="I23" s="271">
        <f>ROUND(I39/1000,0)</f>
        <v>291</v>
      </c>
      <c r="J23" s="271">
        <v>0</v>
      </c>
      <c r="K23" s="271">
        <f t="shared" si="15"/>
        <v>63</v>
      </c>
      <c r="L23" s="271">
        <f t="shared" si="7"/>
        <v>5332</v>
      </c>
      <c r="M23" s="271">
        <f t="shared" si="16"/>
        <v>645</v>
      </c>
      <c r="N23" s="271">
        <f t="shared" si="8"/>
        <v>0</v>
      </c>
      <c r="O23" s="271">
        <f t="shared" si="8"/>
        <v>0</v>
      </c>
      <c r="P23" s="271">
        <f>ROUND(P39/1000,0)</f>
        <v>4687</v>
      </c>
      <c r="Q23" s="251" t="s">
        <v>261</v>
      </c>
      <c r="R23" s="271">
        <f t="shared" si="9"/>
        <v>275</v>
      </c>
      <c r="S23" s="271">
        <f t="shared" si="10"/>
        <v>29</v>
      </c>
      <c r="T23" s="271">
        <f t="shared" si="10"/>
        <v>0</v>
      </c>
      <c r="U23" s="271">
        <f t="shared" si="10"/>
        <v>246</v>
      </c>
      <c r="V23" s="271">
        <v>0</v>
      </c>
      <c r="W23" s="271">
        <f t="shared" si="11"/>
        <v>670</v>
      </c>
      <c r="X23" s="271">
        <f aca="true" t="shared" si="18" ref="X23:Z24">ROUND(X39/1000,0)</f>
        <v>0</v>
      </c>
      <c r="Y23" s="271">
        <f t="shared" si="18"/>
        <v>670</v>
      </c>
      <c r="Z23" s="271">
        <f t="shared" si="18"/>
        <v>378</v>
      </c>
      <c r="AA23" s="271">
        <f t="shared" si="17"/>
        <v>0</v>
      </c>
      <c r="AB23" s="252">
        <v>0</v>
      </c>
      <c r="AC23" s="252">
        <v>0</v>
      </c>
      <c r="AD23" s="271">
        <v>0</v>
      </c>
      <c r="AE23" s="271">
        <f>ROUND(AE39/1000,0)+1</f>
        <v>230</v>
      </c>
      <c r="AF23" s="271">
        <f t="shared" si="13"/>
        <v>6390</v>
      </c>
      <c r="AG23" s="271">
        <v>0</v>
      </c>
      <c r="AH23" s="271">
        <f t="shared" si="14"/>
        <v>153019</v>
      </c>
    </row>
    <row r="24" spans="1:34" s="254" customFormat="1" ht="24.75" customHeight="1">
      <c r="A24" s="251" t="s">
        <v>172</v>
      </c>
      <c r="B24" s="271">
        <f t="shared" si="1"/>
        <v>15777</v>
      </c>
      <c r="C24" s="252">
        <f aca="true" t="shared" si="19" ref="C24:C30">SUM(D24:G24)</f>
        <v>4358</v>
      </c>
      <c r="D24" s="271">
        <f t="shared" si="3"/>
        <v>959</v>
      </c>
      <c r="E24" s="271">
        <f t="shared" si="3"/>
        <v>1273</v>
      </c>
      <c r="F24" s="271">
        <f t="shared" si="3"/>
        <v>1865</v>
      </c>
      <c r="G24" s="271">
        <f t="shared" si="3"/>
        <v>261</v>
      </c>
      <c r="H24" s="252">
        <f t="shared" si="4"/>
        <v>558</v>
      </c>
      <c r="I24" s="271">
        <f>ROUND(I40/1000,0)</f>
        <v>317</v>
      </c>
      <c r="J24" s="271">
        <v>0</v>
      </c>
      <c r="K24" s="271">
        <f t="shared" si="15"/>
        <v>241</v>
      </c>
      <c r="L24" s="271">
        <f t="shared" si="7"/>
        <v>8844</v>
      </c>
      <c r="M24" s="271">
        <f>ROUND(M40/1000,0)-1</f>
        <v>849</v>
      </c>
      <c r="N24" s="271">
        <f>ROUND(N40/1000,0)</f>
        <v>0</v>
      </c>
      <c r="O24" s="271">
        <f t="shared" si="8"/>
        <v>0</v>
      </c>
      <c r="P24" s="271">
        <f>ROUND(P40/1000,0)</f>
        <v>7995</v>
      </c>
      <c r="Q24" s="251" t="s">
        <v>262</v>
      </c>
      <c r="R24" s="271">
        <f t="shared" si="9"/>
        <v>352</v>
      </c>
      <c r="S24" s="271">
        <f t="shared" si="10"/>
        <v>29</v>
      </c>
      <c r="T24" s="271">
        <f t="shared" si="10"/>
        <v>0</v>
      </c>
      <c r="U24" s="271">
        <f t="shared" si="10"/>
        <v>323</v>
      </c>
      <c r="V24" s="271">
        <v>0</v>
      </c>
      <c r="W24" s="271">
        <f t="shared" si="11"/>
        <v>729</v>
      </c>
      <c r="X24" s="271">
        <f t="shared" si="18"/>
        <v>46</v>
      </c>
      <c r="Y24" s="271">
        <f t="shared" si="18"/>
        <v>683</v>
      </c>
      <c r="Z24" s="271">
        <f t="shared" si="18"/>
        <v>378</v>
      </c>
      <c r="AA24" s="271">
        <f t="shared" si="17"/>
        <v>0</v>
      </c>
      <c r="AB24" s="252">
        <v>0</v>
      </c>
      <c r="AC24" s="252">
        <v>0</v>
      </c>
      <c r="AD24" s="271">
        <v>0</v>
      </c>
      <c r="AE24" s="271">
        <f t="shared" si="13"/>
        <v>0</v>
      </c>
      <c r="AF24" s="271">
        <f t="shared" si="13"/>
        <v>558</v>
      </c>
      <c r="AG24" s="271">
        <v>0</v>
      </c>
      <c r="AH24" s="271">
        <f t="shared" si="14"/>
        <v>154564</v>
      </c>
    </row>
    <row r="25" spans="1:34" s="254" customFormat="1" ht="24.75" customHeight="1">
      <c r="A25" s="251" t="s">
        <v>173</v>
      </c>
      <c r="B25" s="271">
        <f aca="true" t="shared" si="20" ref="B25:B30">C25+H25+L25+R25+W25+Z25+AA25+AD25+AE25+AF25</f>
        <v>9562</v>
      </c>
      <c r="C25" s="252">
        <f t="shared" si="19"/>
        <v>4932</v>
      </c>
      <c r="D25" s="271">
        <f>ROUND(D41/1000,0)</f>
        <v>1056</v>
      </c>
      <c r="E25" s="271">
        <f>ROUND(E41/1000,0)</f>
        <v>1157</v>
      </c>
      <c r="F25" s="271">
        <f>ROUND(F41/1000,0)</f>
        <v>2435</v>
      </c>
      <c r="G25" s="271">
        <f>ROUND(G41/1000,0)</f>
        <v>284</v>
      </c>
      <c r="H25" s="252">
        <f aca="true" t="shared" si="21" ref="H25:H30">SUM(I25:K25)</f>
        <v>875</v>
      </c>
      <c r="I25" s="271">
        <f>ROUND(I41/1000,0)</f>
        <v>367</v>
      </c>
      <c r="J25" s="271">
        <v>0</v>
      </c>
      <c r="K25" s="271">
        <f t="shared" si="15"/>
        <v>508</v>
      </c>
      <c r="L25" s="271">
        <f t="shared" si="7"/>
        <v>2021</v>
      </c>
      <c r="M25" s="271">
        <f t="shared" si="16"/>
        <v>421</v>
      </c>
      <c r="N25" s="271">
        <f>ROUND(N41/1000,0)</f>
        <v>0</v>
      </c>
      <c r="O25" s="271">
        <f t="shared" si="8"/>
        <v>0</v>
      </c>
      <c r="P25" s="271">
        <f>ROUND(P41/1000,0)-1</f>
        <v>1600</v>
      </c>
      <c r="Q25" s="251" t="s">
        <v>263</v>
      </c>
      <c r="R25" s="271">
        <f t="shared" si="9"/>
        <v>334</v>
      </c>
      <c r="S25" s="271">
        <f aca="true" t="shared" si="22" ref="S25:S30">ROUND(S41/1000,0)</f>
        <v>29</v>
      </c>
      <c r="T25" s="271">
        <f aca="true" t="shared" si="23" ref="T25:T30">ROUND(T41/1000,0)</f>
        <v>0</v>
      </c>
      <c r="U25" s="271">
        <f aca="true" t="shared" si="24" ref="U25:U30">ROUND(U41/1000,0)</f>
        <v>305</v>
      </c>
      <c r="V25" s="271">
        <v>0</v>
      </c>
      <c r="W25" s="271">
        <f t="shared" si="11"/>
        <v>874</v>
      </c>
      <c r="X25" s="271">
        <f aca="true" t="shared" si="25" ref="X25:Y30">ROUND(X41/1000,0)</f>
        <v>45</v>
      </c>
      <c r="Y25" s="271">
        <f t="shared" si="25"/>
        <v>829</v>
      </c>
      <c r="Z25" s="271">
        <f>ROUND(Z41/1000,0)</f>
        <v>426</v>
      </c>
      <c r="AA25" s="271">
        <f t="shared" si="17"/>
        <v>0</v>
      </c>
      <c r="AB25" s="252">
        <v>0</v>
      </c>
      <c r="AC25" s="252">
        <v>0</v>
      </c>
      <c r="AD25" s="271">
        <v>0</v>
      </c>
      <c r="AE25" s="271">
        <f aca="true" t="shared" si="26" ref="AE25:AE30">ROUND(AE41/1000,0)</f>
        <v>0</v>
      </c>
      <c r="AF25" s="271">
        <f aca="true" t="shared" si="27" ref="AF25:AF30">ROUND(AF41/1000,0)</f>
        <v>100</v>
      </c>
      <c r="AG25" s="271">
        <v>0</v>
      </c>
      <c r="AH25" s="271">
        <f aca="true" t="shared" si="28" ref="AH25:AH30">ROUND(AH41/1000,0)</f>
        <v>158829</v>
      </c>
    </row>
    <row r="26" spans="1:34" s="254" customFormat="1" ht="24.75" customHeight="1">
      <c r="A26" s="251" t="s">
        <v>174</v>
      </c>
      <c r="B26" s="271">
        <f>C26+H26+L26+R26+W26+Z26+AA26+AD26+AE26+AF26</f>
        <v>22721</v>
      </c>
      <c r="C26" s="252">
        <f t="shared" si="19"/>
        <v>7124</v>
      </c>
      <c r="D26" s="271">
        <f>ROUND(D42/1000,0)</f>
        <v>1071</v>
      </c>
      <c r="E26" s="271">
        <f aca="true" t="shared" si="29" ref="E26:G30">ROUND(E42/1000,0)</f>
        <v>1474</v>
      </c>
      <c r="F26" s="271">
        <f t="shared" si="29"/>
        <v>4316</v>
      </c>
      <c r="G26" s="271">
        <f t="shared" si="29"/>
        <v>263</v>
      </c>
      <c r="H26" s="252">
        <f t="shared" si="21"/>
        <v>343</v>
      </c>
      <c r="I26" s="271">
        <f t="shared" si="5"/>
        <v>271</v>
      </c>
      <c r="J26" s="271">
        <v>0</v>
      </c>
      <c r="K26" s="271">
        <f t="shared" si="6"/>
        <v>72</v>
      </c>
      <c r="L26" s="271">
        <f>SUM(M26:P26)</f>
        <v>9530</v>
      </c>
      <c r="M26" s="271">
        <f t="shared" si="8"/>
        <v>381</v>
      </c>
      <c r="N26" s="271">
        <f t="shared" si="8"/>
        <v>0</v>
      </c>
      <c r="O26" s="271">
        <f t="shared" si="8"/>
        <v>0</v>
      </c>
      <c r="P26" s="271">
        <f t="shared" si="8"/>
        <v>9149</v>
      </c>
      <c r="Q26" s="251" t="s">
        <v>264</v>
      </c>
      <c r="R26" s="271">
        <f>SUM(S26:V26)</f>
        <v>314</v>
      </c>
      <c r="S26" s="271">
        <f t="shared" si="22"/>
        <v>29</v>
      </c>
      <c r="T26" s="271">
        <f t="shared" si="23"/>
        <v>0</v>
      </c>
      <c r="U26" s="271">
        <f t="shared" si="24"/>
        <v>285</v>
      </c>
      <c r="V26" s="271">
        <v>0</v>
      </c>
      <c r="W26" s="271">
        <f>SUM(X26:Y26)</f>
        <v>811</v>
      </c>
      <c r="X26" s="271">
        <f t="shared" si="25"/>
        <v>3</v>
      </c>
      <c r="Y26" s="271">
        <f t="shared" si="25"/>
        <v>808</v>
      </c>
      <c r="Z26" s="271">
        <f>ROUND(Z42/1000,0)</f>
        <v>936</v>
      </c>
      <c r="AA26" s="271">
        <f t="shared" si="17"/>
        <v>0</v>
      </c>
      <c r="AB26" s="252">
        <v>0</v>
      </c>
      <c r="AC26" s="252">
        <v>0</v>
      </c>
      <c r="AD26" s="271">
        <v>0</v>
      </c>
      <c r="AE26" s="271">
        <f>ROUND(AE42/1000,0)-1</f>
        <v>145</v>
      </c>
      <c r="AF26" s="271">
        <f t="shared" si="27"/>
        <v>3518</v>
      </c>
      <c r="AG26" s="271">
        <v>0</v>
      </c>
      <c r="AH26" s="271">
        <f t="shared" si="28"/>
        <v>152849</v>
      </c>
    </row>
    <row r="27" spans="1:34" s="254" customFormat="1" ht="24.75" customHeight="1">
      <c r="A27" s="251" t="s">
        <v>265</v>
      </c>
      <c r="B27" s="271">
        <f t="shared" si="20"/>
        <v>9134</v>
      </c>
      <c r="C27" s="252">
        <f t="shared" si="19"/>
        <v>4578</v>
      </c>
      <c r="D27" s="271">
        <f>ROUND(D43/1000,0)</f>
        <v>923</v>
      </c>
      <c r="E27" s="271">
        <f t="shared" si="29"/>
        <v>1017</v>
      </c>
      <c r="F27" s="271">
        <f t="shared" si="29"/>
        <v>2374</v>
      </c>
      <c r="G27" s="271">
        <f t="shared" si="29"/>
        <v>264</v>
      </c>
      <c r="H27" s="252">
        <f t="shared" si="21"/>
        <v>286</v>
      </c>
      <c r="I27" s="271">
        <f t="shared" si="5"/>
        <v>256</v>
      </c>
      <c r="J27" s="271">
        <v>0</v>
      </c>
      <c r="K27" s="271">
        <f t="shared" si="6"/>
        <v>30</v>
      </c>
      <c r="L27" s="271">
        <f>SUM(M27:P27)</f>
        <v>2617</v>
      </c>
      <c r="M27" s="271">
        <f t="shared" si="8"/>
        <v>508</v>
      </c>
      <c r="N27" s="271">
        <f t="shared" si="8"/>
        <v>0</v>
      </c>
      <c r="O27" s="271">
        <f t="shared" si="8"/>
        <v>0</v>
      </c>
      <c r="P27" s="271">
        <f t="shared" si="8"/>
        <v>2109</v>
      </c>
      <c r="Q27" s="251" t="s">
        <v>265</v>
      </c>
      <c r="R27" s="271">
        <f>SUM(S27:V27)</f>
        <v>333</v>
      </c>
      <c r="S27" s="271">
        <f t="shared" si="22"/>
        <v>29</v>
      </c>
      <c r="T27" s="271">
        <f t="shared" si="23"/>
        <v>0</v>
      </c>
      <c r="U27" s="271">
        <f t="shared" si="24"/>
        <v>304</v>
      </c>
      <c r="V27" s="271">
        <v>0</v>
      </c>
      <c r="W27" s="271">
        <f>SUM(X27:Y27)</f>
        <v>768</v>
      </c>
      <c r="X27" s="271">
        <f t="shared" si="25"/>
        <v>35</v>
      </c>
      <c r="Y27" s="271">
        <f t="shared" si="25"/>
        <v>733</v>
      </c>
      <c r="Z27" s="271">
        <f>ROUND(Z43/1000,0)</f>
        <v>393</v>
      </c>
      <c r="AA27" s="271">
        <f t="shared" si="17"/>
        <v>0</v>
      </c>
      <c r="AB27" s="252">
        <v>0</v>
      </c>
      <c r="AC27" s="252">
        <v>0</v>
      </c>
      <c r="AD27" s="271">
        <v>0</v>
      </c>
      <c r="AE27" s="271">
        <f t="shared" si="26"/>
        <v>157</v>
      </c>
      <c r="AF27" s="273">
        <f t="shared" si="27"/>
        <v>2</v>
      </c>
      <c r="AG27" s="271">
        <v>0</v>
      </c>
      <c r="AH27" s="271">
        <f t="shared" si="28"/>
        <v>164079</v>
      </c>
    </row>
    <row r="28" spans="1:34" s="254" customFormat="1" ht="24.75" customHeight="1">
      <c r="A28" s="251" t="s">
        <v>266</v>
      </c>
      <c r="B28" s="271">
        <f>C28+H28+L28+R28+W28+Z28+AA28+AD28+AE28+AF28</f>
        <v>13762</v>
      </c>
      <c r="C28" s="252">
        <f>SUM(D28:G28)</f>
        <v>5539</v>
      </c>
      <c r="D28" s="271">
        <f>ROUND(D44/1000,0)</f>
        <v>1190</v>
      </c>
      <c r="E28" s="271">
        <f t="shared" si="29"/>
        <v>1190</v>
      </c>
      <c r="F28" s="271">
        <f t="shared" si="29"/>
        <v>2894</v>
      </c>
      <c r="G28" s="271">
        <f t="shared" si="29"/>
        <v>265</v>
      </c>
      <c r="H28" s="252">
        <f t="shared" si="21"/>
        <v>373</v>
      </c>
      <c r="I28" s="271">
        <f t="shared" si="5"/>
        <v>325</v>
      </c>
      <c r="J28" s="271">
        <v>0</v>
      </c>
      <c r="K28" s="271">
        <f t="shared" si="6"/>
        <v>48</v>
      </c>
      <c r="L28" s="271">
        <f>SUM(M28:P28)</f>
        <v>3910</v>
      </c>
      <c r="M28" s="271">
        <f>ROUND(M44/1000,0)</f>
        <v>712</v>
      </c>
      <c r="N28" s="271">
        <f>ROUND(N44/1000,0)</f>
        <v>0</v>
      </c>
      <c r="O28" s="271">
        <f aca="true" t="shared" si="30" ref="N28:P30">ROUND(O44/1000,0)</f>
        <v>0</v>
      </c>
      <c r="P28" s="271">
        <f t="shared" si="30"/>
        <v>3198</v>
      </c>
      <c r="Q28" s="251" t="s">
        <v>266</v>
      </c>
      <c r="R28" s="271">
        <f>SUM(S28:V28)</f>
        <v>355</v>
      </c>
      <c r="S28" s="271">
        <f>ROUND(S44/1000,0)+1</f>
        <v>30</v>
      </c>
      <c r="T28" s="271">
        <f t="shared" si="23"/>
        <v>0</v>
      </c>
      <c r="U28" s="271">
        <f t="shared" si="24"/>
        <v>325</v>
      </c>
      <c r="V28" s="271">
        <v>0</v>
      </c>
      <c r="W28" s="271">
        <f>SUM(X28:Y28)</f>
        <v>816</v>
      </c>
      <c r="X28" s="271">
        <f>ROUND(X44/1000,0)</f>
        <v>0</v>
      </c>
      <c r="Y28" s="271">
        <f t="shared" si="25"/>
        <v>816</v>
      </c>
      <c r="Z28" s="271">
        <f>ROUND(Z44/1000,0)</f>
        <v>385</v>
      </c>
      <c r="AA28" s="271">
        <f>SUM(AB28:AC28)</f>
        <v>0</v>
      </c>
      <c r="AB28" s="252">
        <v>0</v>
      </c>
      <c r="AC28" s="252">
        <v>0</v>
      </c>
      <c r="AD28" s="271">
        <v>0</v>
      </c>
      <c r="AE28" s="271">
        <f t="shared" si="26"/>
        <v>490</v>
      </c>
      <c r="AF28" s="271">
        <f t="shared" si="27"/>
        <v>1894</v>
      </c>
      <c r="AG28" s="271">
        <v>0</v>
      </c>
      <c r="AH28" s="271">
        <f t="shared" si="28"/>
        <v>161171</v>
      </c>
    </row>
    <row r="29" spans="1:34" s="254" customFormat="1" ht="24.75" customHeight="1">
      <c r="A29" s="251" t="s">
        <v>175</v>
      </c>
      <c r="B29" s="271">
        <f>C29+H29+L29+R29+W29+Z29+AA29+AD29+AE29+AF29</f>
        <v>15100</v>
      </c>
      <c r="C29" s="252">
        <f>SUM(D29:G29)</f>
        <v>4673</v>
      </c>
      <c r="D29" s="271">
        <f>ROUND(D45/1000,0)</f>
        <v>1010</v>
      </c>
      <c r="E29" s="271">
        <f t="shared" si="29"/>
        <v>1143</v>
      </c>
      <c r="F29" s="271">
        <f>ROUND(F45/1000,0)+1</f>
        <v>2139</v>
      </c>
      <c r="G29" s="271">
        <f t="shared" si="29"/>
        <v>381</v>
      </c>
      <c r="H29" s="252">
        <f t="shared" si="21"/>
        <v>362</v>
      </c>
      <c r="I29" s="271">
        <f t="shared" si="5"/>
        <v>308</v>
      </c>
      <c r="J29" s="271">
        <v>0</v>
      </c>
      <c r="K29" s="271">
        <f t="shared" si="6"/>
        <v>54</v>
      </c>
      <c r="L29" s="271">
        <f>SUM(M29:P29)</f>
        <v>6737</v>
      </c>
      <c r="M29" s="271">
        <f>ROUND(M45/1000,0)+1</f>
        <v>256</v>
      </c>
      <c r="N29" s="271">
        <f t="shared" si="30"/>
        <v>3</v>
      </c>
      <c r="O29" s="271">
        <f t="shared" si="30"/>
        <v>0</v>
      </c>
      <c r="P29" s="271">
        <f t="shared" si="30"/>
        <v>6478</v>
      </c>
      <c r="Q29" s="251" t="s">
        <v>267</v>
      </c>
      <c r="R29" s="271">
        <f>SUM(S29:V29)</f>
        <v>333</v>
      </c>
      <c r="S29" s="271">
        <f>ROUND(S45/1000,0)+1</f>
        <v>30</v>
      </c>
      <c r="T29" s="271">
        <f t="shared" si="23"/>
        <v>0</v>
      </c>
      <c r="U29" s="271">
        <f t="shared" si="24"/>
        <v>303</v>
      </c>
      <c r="V29" s="271">
        <v>0</v>
      </c>
      <c r="W29" s="271">
        <f>SUM(X29:Y29)</f>
        <v>2099</v>
      </c>
      <c r="X29" s="271">
        <f t="shared" si="25"/>
        <v>96</v>
      </c>
      <c r="Y29" s="271">
        <f t="shared" si="25"/>
        <v>2003</v>
      </c>
      <c r="Z29" s="271">
        <f>ROUND(Z45/1000,0)+1</f>
        <v>405</v>
      </c>
      <c r="AA29" s="271">
        <f t="shared" si="17"/>
        <v>0</v>
      </c>
      <c r="AB29" s="252">
        <v>0</v>
      </c>
      <c r="AC29" s="252">
        <v>0</v>
      </c>
      <c r="AD29" s="271">
        <v>0</v>
      </c>
      <c r="AE29" s="271">
        <f t="shared" si="26"/>
        <v>490</v>
      </c>
      <c r="AF29" s="271">
        <f>ROUND(AF45/1000,0)</f>
        <v>1</v>
      </c>
      <c r="AG29" s="271">
        <v>0</v>
      </c>
      <c r="AH29" s="271">
        <f t="shared" si="28"/>
        <v>158389</v>
      </c>
    </row>
    <row r="30" spans="1:34" s="254" customFormat="1" ht="24.75" customHeight="1">
      <c r="A30" s="251" t="s">
        <v>176</v>
      </c>
      <c r="B30" s="324">
        <f t="shared" si="20"/>
        <v>44773</v>
      </c>
      <c r="C30" s="252">
        <f t="shared" si="19"/>
        <v>14847</v>
      </c>
      <c r="D30" s="271">
        <f>ROUND(D46/1000,0)+1</f>
        <v>813</v>
      </c>
      <c r="E30" s="271">
        <f>ROUND(E46/1000,0)-1</f>
        <v>2875</v>
      </c>
      <c r="F30" s="271">
        <f>ROUND(F46/1000,0)-1</f>
        <v>10758</v>
      </c>
      <c r="G30" s="271">
        <f t="shared" si="29"/>
        <v>401</v>
      </c>
      <c r="H30" s="252">
        <f t="shared" si="21"/>
        <v>2848</v>
      </c>
      <c r="I30" s="271">
        <f t="shared" si="5"/>
        <v>2240</v>
      </c>
      <c r="J30" s="271">
        <v>0</v>
      </c>
      <c r="K30" s="271">
        <f t="shared" si="6"/>
        <v>608</v>
      </c>
      <c r="L30" s="271">
        <f>SUM(M30:P30)</f>
        <v>22560</v>
      </c>
      <c r="M30" s="271">
        <f>ROUND(M46/1000,0)</f>
        <v>1719</v>
      </c>
      <c r="N30" s="271">
        <f t="shared" si="30"/>
        <v>506</v>
      </c>
      <c r="O30" s="271">
        <f t="shared" si="30"/>
        <v>0</v>
      </c>
      <c r="P30" s="271">
        <f t="shared" si="30"/>
        <v>20335</v>
      </c>
      <c r="Q30" s="251" t="s">
        <v>268</v>
      </c>
      <c r="R30" s="324">
        <f>SUM(S30:V30)</f>
        <v>2067</v>
      </c>
      <c r="S30" s="271">
        <f t="shared" si="22"/>
        <v>59</v>
      </c>
      <c r="T30" s="271">
        <f t="shared" si="23"/>
        <v>0</v>
      </c>
      <c r="U30" s="271">
        <f t="shared" si="24"/>
        <v>2008</v>
      </c>
      <c r="V30" s="271">
        <v>0</v>
      </c>
      <c r="W30" s="252">
        <f>SUM(X30:Y30)</f>
        <v>1873</v>
      </c>
      <c r="X30" s="271">
        <f t="shared" si="25"/>
        <v>43</v>
      </c>
      <c r="Y30" s="271">
        <f>ROUND(Y46/1000,0)-1</f>
        <v>1830</v>
      </c>
      <c r="Z30" s="271">
        <f>ROUND(Z46/1000,0)</f>
        <v>385</v>
      </c>
      <c r="AA30" s="252">
        <f t="shared" si="17"/>
        <v>0</v>
      </c>
      <c r="AB30" s="252">
        <v>0</v>
      </c>
      <c r="AC30" s="252">
        <v>0</v>
      </c>
      <c r="AD30" s="252">
        <v>0</v>
      </c>
      <c r="AE30" s="271">
        <f t="shared" si="26"/>
        <v>93</v>
      </c>
      <c r="AF30" s="271">
        <f t="shared" si="27"/>
        <v>100</v>
      </c>
      <c r="AG30" s="252">
        <v>0</v>
      </c>
      <c r="AH30" s="271">
        <f t="shared" si="28"/>
        <v>138329</v>
      </c>
    </row>
    <row r="31" spans="1:34" ht="1.5" customHeight="1" thickBot="1">
      <c r="A31" s="48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7"/>
      <c r="R31" s="15"/>
      <c r="S31" s="16"/>
      <c r="T31" s="16"/>
      <c r="U31" s="16"/>
      <c r="V31" s="16"/>
      <c r="W31" s="35"/>
      <c r="X31" s="16"/>
      <c r="Y31" s="16"/>
      <c r="Z31" s="16"/>
      <c r="AA31" s="35"/>
      <c r="AB31" s="35"/>
      <c r="AC31" s="16"/>
      <c r="AD31" s="16"/>
      <c r="AE31" s="16"/>
      <c r="AF31" s="16"/>
      <c r="AG31" s="16"/>
      <c r="AH31" s="16"/>
    </row>
    <row r="32" spans="1:34" s="24" customFormat="1" ht="16.5">
      <c r="A32" s="154" t="s">
        <v>351</v>
      </c>
      <c r="B32" s="4"/>
      <c r="Q32" s="154" t="s">
        <v>269</v>
      </c>
      <c r="W32" s="26"/>
      <c r="AA32" s="27"/>
      <c r="AD32" s="26"/>
      <c r="AF32" s="26"/>
      <c r="AG32" s="26"/>
      <c r="AH32" s="26"/>
    </row>
    <row r="33" spans="1:34" ht="19.5" customHeight="1">
      <c r="A33" s="50"/>
      <c r="B33" s="303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5"/>
      <c r="R33" s="304"/>
      <c r="S33" s="304"/>
      <c r="T33" s="304"/>
      <c r="U33" s="304"/>
      <c r="V33" s="304"/>
      <c r="W33" s="306"/>
      <c r="X33" s="304"/>
      <c r="Y33" s="304"/>
      <c r="Z33" s="304"/>
      <c r="AA33" s="307"/>
      <c r="AB33" s="304"/>
      <c r="AC33" s="304"/>
      <c r="AD33" s="306"/>
      <c r="AE33" s="304"/>
      <c r="AF33" s="306"/>
      <c r="AG33" s="306"/>
      <c r="AH33" s="306"/>
    </row>
    <row r="34" spans="1:34" ht="16.5">
      <c r="A34" s="300"/>
      <c r="B34" s="298">
        <f>SUM(B35:B46)</f>
        <v>202244110</v>
      </c>
      <c r="C34" s="298">
        <f aca="true" t="shared" si="31" ref="C34:AG34">SUM(C35:C46)</f>
        <v>71444344</v>
      </c>
      <c r="D34" s="298">
        <f t="shared" si="31"/>
        <v>14643781</v>
      </c>
      <c r="E34" s="298">
        <f t="shared" si="31"/>
        <v>16152335</v>
      </c>
      <c r="F34" s="298">
        <f t="shared" si="31"/>
        <v>36585034</v>
      </c>
      <c r="G34" s="298">
        <f t="shared" si="31"/>
        <v>4063194</v>
      </c>
      <c r="H34" s="298">
        <f t="shared" si="31"/>
        <v>7762387</v>
      </c>
      <c r="I34" s="298">
        <f t="shared" si="31"/>
        <v>5985796</v>
      </c>
      <c r="J34" s="298">
        <f t="shared" si="31"/>
        <v>0</v>
      </c>
      <c r="K34" s="298">
        <f t="shared" si="31"/>
        <v>1776591</v>
      </c>
      <c r="L34" s="299">
        <f t="shared" si="31"/>
        <v>67783949</v>
      </c>
      <c r="M34" s="298">
        <f t="shared" si="31"/>
        <v>7375413</v>
      </c>
      <c r="N34" s="298">
        <f t="shared" si="31"/>
        <v>511083</v>
      </c>
      <c r="O34" s="298">
        <f t="shared" si="31"/>
        <v>0</v>
      </c>
      <c r="P34" s="298">
        <f t="shared" si="31"/>
        <v>59897453</v>
      </c>
      <c r="Q34" s="298">
        <f t="shared" si="31"/>
        <v>0</v>
      </c>
      <c r="R34" s="299">
        <f t="shared" si="31"/>
        <v>5888084</v>
      </c>
      <c r="S34" s="298">
        <f t="shared" si="31"/>
        <v>364441</v>
      </c>
      <c r="T34" s="298">
        <f t="shared" si="31"/>
        <v>0</v>
      </c>
      <c r="U34" s="298">
        <f t="shared" si="31"/>
        <v>5523643</v>
      </c>
      <c r="V34" s="298">
        <f t="shared" si="31"/>
        <v>0</v>
      </c>
      <c r="W34" s="299">
        <f t="shared" si="31"/>
        <v>12711172</v>
      </c>
      <c r="X34" s="298">
        <f t="shared" si="31"/>
        <v>288242</v>
      </c>
      <c r="Y34" s="298">
        <f t="shared" si="31"/>
        <v>12422930</v>
      </c>
      <c r="Z34" s="298">
        <f t="shared" si="31"/>
        <v>7023581</v>
      </c>
      <c r="AA34" s="298">
        <f t="shared" si="31"/>
        <v>0</v>
      </c>
      <c r="AB34" s="298">
        <f t="shared" si="31"/>
        <v>0</v>
      </c>
      <c r="AC34" s="298">
        <f t="shared" si="31"/>
        <v>0</v>
      </c>
      <c r="AD34" s="298">
        <f t="shared" si="31"/>
        <v>0</v>
      </c>
      <c r="AE34" s="298">
        <f t="shared" si="31"/>
        <v>1704997</v>
      </c>
      <c r="AF34" s="298">
        <f t="shared" si="31"/>
        <v>27925596</v>
      </c>
      <c r="AG34" s="298">
        <f t="shared" si="31"/>
        <v>0</v>
      </c>
      <c r="AH34" s="301"/>
    </row>
    <row r="35" spans="1:34" s="254" customFormat="1" ht="16.5">
      <c r="A35" s="325" t="s">
        <v>257</v>
      </c>
      <c r="B35" s="297">
        <f aca="true" t="shared" si="32" ref="B35:B40">C35+H35+L35+R35+W35+Z35+AA35+AD35+AE35+AF35</f>
        <v>5953277</v>
      </c>
      <c r="C35" s="302">
        <f aca="true" t="shared" si="33" ref="C35:C40">SUM(D35:G35)</f>
        <v>3740955</v>
      </c>
      <c r="D35" s="297">
        <f>1534433+100000</f>
        <v>1634433</v>
      </c>
      <c r="E35" s="297">
        <v>746278</v>
      </c>
      <c r="F35" s="297">
        <v>1094916</v>
      </c>
      <c r="G35" s="297">
        <v>265328</v>
      </c>
      <c r="H35" s="302">
        <f aca="true" t="shared" si="34" ref="H35:H40">SUM(I35:K35)</f>
        <v>195063</v>
      </c>
      <c r="I35" s="297">
        <v>195063</v>
      </c>
      <c r="J35" s="297">
        <v>0</v>
      </c>
      <c r="K35" s="297">
        <v>0</v>
      </c>
      <c r="L35" s="297">
        <f aca="true" t="shared" si="35" ref="L35:L40">SUM(M35:P35)</f>
        <v>646288</v>
      </c>
      <c r="M35" s="297">
        <v>239131</v>
      </c>
      <c r="N35" s="297">
        <v>0</v>
      </c>
      <c r="O35" s="297">
        <v>0</v>
      </c>
      <c r="P35" s="297">
        <f>218157+189000</f>
        <v>407157</v>
      </c>
      <c r="Q35" s="325" t="s">
        <v>257</v>
      </c>
      <c r="R35" s="297">
        <f aca="true" t="shared" si="36" ref="R35:R40">SUM(S35:V35)</f>
        <v>226052</v>
      </c>
      <c r="S35" s="297">
        <v>0</v>
      </c>
      <c r="T35" s="297">
        <v>0</v>
      </c>
      <c r="U35" s="297">
        <v>226052</v>
      </c>
      <c r="V35" s="297">
        <v>0</v>
      </c>
      <c r="W35" s="297">
        <f aca="true" t="shared" si="37" ref="W35:W40">SUM(X35:Y35)</f>
        <v>561577</v>
      </c>
      <c r="X35" s="297">
        <v>0</v>
      </c>
      <c r="Y35" s="297">
        <v>561577</v>
      </c>
      <c r="Z35" s="297">
        <v>367402</v>
      </c>
      <c r="AA35" s="297">
        <f>SUM(AB35:AC35)</f>
        <v>0</v>
      </c>
      <c r="AB35" s="302">
        <v>0</v>
      </c>
      <c r="AC35" s="297">
        <v>0</v>
      </c>
      <c r="AD35" s="297">
        <v>0</v>
      </c>
      <c r="AE35" s="297">
        <v>0</v>
      </c>
      <c r="AF35" s="297">
        <v>215940</v>
      </c>
      <c r="AG35" s="297">
        <v>0</v>
      </c>
      <c r="AH35" s="297">
        <v>135328719</v>
      </c>
    </row>
    <row r="36" spans="1:34" s="254" customFormat="1" ht="16.5">
      <c r="A36" s="325" t="s">
        <v>168</v>
      </c>
      <c r="B36" s="297">
        <f t="shared" si="32"/>
        <v>19562107</v>
      </c>
      <c r="C36" s="302">
        <f t="shared" si="33"/>
        <v>8950183</v>
      </c>
      <c r="D36" s="297">
        <v>2414785</v>
      </c>
      <c r="E36" s="297">
        <v>2196422</v>
      </c>
      <c r="F36" s="297">
        <v>3435534</v>
      </c>
      <c r="G36" s="297">
        <v>903442</v>
      </c>
      <c r="H36" s="302">
        <f t="shared" si="34"/>
        <v>850386</v>
      </c>
      <c r="I36" s="297">
        <v>759668</v>
      </c>
      <c r="J36" s="297">
        <v>0</v>
      </c>
      <c r="K36" s="297">
        <v>90718</v>
      </c>
      <c r="L36" s="297">
        <f t="shared" si="35"/>
        <v>2581486</v>
      </c>
      <c r="M36" s="297">
        <v>905457</v>
      </c>
      <c r="N36" s="297">
        <v>0</v>
      </c>
      <c r="O36" s="297">
        <v>0</v>
      </c>
      <c r="P36" s="297">
        <f>1021732+654297</f>
        <v>1676029</v>
      </c>
      <c r="Q36" s="325" t="s">
        <v>258</v>
      </c>
      <c r="R36" s="297">
        <f t="shared" si="36"/>
        <v>748809</v>
      </c>
      <c r="S36" s="297">
        <v>41580</v>
      </c>
      <c r="T36" s="297">
        <v>0</v>
      </c>
      <c r="U36" s="297">
        <v>707229</v>
      </c>
      <c r="V36" s="297">
        <v>0</v>
      </c>
      <c r="W36" s="297">
        <f t="shared" si="37"/>
        <v>1971464</v>
      </c>
      <c r="X36" s="297">
        <v>0</v>
      </c>
      <c r="Y36" s="297">
        <v>1971464</v>
      </c>
      <c r="Z36" s="297">
        <v>388868</v>
      </c>
      <c r="AA36" s="297">
        <f aca="true" t="shared" si="38" ref="AA36:AA43">SUM(AB36:AC36)</f>
        <v>0</v>
      </c>
      <c r="AB36" s="302">
        <v>0</v>
      </c>
      <c r="AC36" s="297">
        <v>0</v>
      </c>
      <c r="AD36" s="297">
        <v>0</v>
      </c>
      <c r="AE36" s="297">
        <v>0</v>
      </c>
      <c r="AF36" s="297">
        <v>4070911</v>
      </c>
      <c r="AG36" s="297">
        <v>0</v>
      </c>
      <c r="AH36" s="297">
        <v>130909390</v>
      </c>
    </row>
    <row r="37" spans="1:34" s="254" customFormat="1" ht="16.5">
      <c r="A37" s="325" t="s">
        <v>169</v>
      </c>
      <c r="B37" s="297">
        <f t="shared" si="32"/>
        <v>15109783</v>
      </c>
      <c r="C37" s="302">
        <f t="shared" si="33"/>
        <v>3937240</v>
      </c>
      <c r="D37" s="297">
        <v>963104</v>
      </c>
      <c r="E37" s="297">
        <v>1145613</v>
      </c>
      <c r="F37" s="297">
        <v>1571365</v>
      </c>
      <c r="G37" s="297">
        <v>257158</v>
      </c>
      <c r="H37" s="302">
        <f t="shared" si="34"/>
        <v>310491</v>
      </c>
      <c r="I37" s="297">
        <v>282357</v>
      </c>
      <c r="J37" s="297">
        <v>0</v>
      </c>
      <c r="K37" s="297">
        <v>28134</v>
      </c>
      <c r="L37" s="297">
        <f t="shared" si="35"/>
        <v>1281804</v>
      </c>
      <c r="M37" s="297">
        <v>347163</v>
      </c>
      <c r="N37" s="297">
        <v>157</v>
      </c>
      <c r="O37" s="297">
        <v>0</v>
      </c>
      <c r="P37" s="297">
        <f>630750+303734</f>
        <v>934484</v>
      </c>
      <c r="Q37" s="325" t="s">
        <v>259</v>
      </c>
      <c r="R37" s="297">
        <f t="shared" si="36"/>
        <v>256525</v>
      </c>
      <c r="S37" s="297">
        <v>29351</v>
      </c>
      <c r="T37" s="297">
        <v>0</v>
      </c>
      <c r="U37" s="297">
        <v>227174</v>
      </c>
      <c r="V37" s="297">
        <v>0</v>
      </c>
      <c r="W37" s="297">
        <f t="shared" si="37"/>
        <v>830528</v>
      </c>
      <c r="X37" s="297">
        <v>20000</v>
      </c>
      <c r="Y37" s="297">
        <v>810528</v>
      </c>
      <c r="Z37" s="297">
        <v>2203212</v>
      </c>
      <c r="AA37" s="297">
        <f t="shared" si="38"/>
        <v>0</v>
      </c>
      <c r="AB37" s="302">
        <v>0</v>
      </c>
      <c r="AC37" s="297">
        <v>0</v>
      </c>
      <c r="AD37" s="297">
        <v>0</v>
      </c>
      <c r="AE37" s="297">
        <v>100400</v>
      </c>
      <c r="AF37" s="297">
        <v>6189583</v>
      </c>
      <c r="AG37" s="297">
        <v>0</v>
      </c>
      <c r="AH37" s="297">
        <v>147868528</v>
      </c>
    </row>
    <row r="38" spans="1:34" s="254" customFormat="1" ht="16.5">
      <c r="A38" s="325" t="s">
        <v>170</v>
      </c>
      <c r="B38" s="297">
        <f t="shared" si="32"/>
        <v>12877169</v>
      </c>
      <c r="C38" s="302">
        <f t="shared" si="33"/>
        <v>4483216</v>
      </c>
      <c r="D38" s="297">
        <v>1613482</v>
      </c>
      <c r="E38" s="297">
        <v>783347</v>
      </c>
      <c r="F38" s="297">
        <v>1813280</v>
      </c>
      <c r="G38" s="297">
        <v>273107</v>
      </c>
      <c r="H38" s="302">
        <f t="shared" si="34"/>
        <v>406797</v>
      </c>
      <c r="I38" s="297">
        <v>372688</v>
      </c>
      <c r="J38" s="297">
        <v>0</v>
      </c>
      <c r="K38" s="297">
        <v>34109</v>
      </c>
      <c r="L38" s="297">
        <f t="shared" si="35"/>
        <v>1720974</v>
      </c>
      <c r="M38" s="297">
        <v>392974</v>
      </c>
      <c r="N38" s="297">
        <v>658</v>
      </c>
      <c r="O38" s="297">
        <v>0</v>
      </c>
      <c r="P38" s="297">
        <f>946885+380457</f>
        <v>1327342</v>
      </c>
      <c r="Q38" s="325" t="s">
        <v>260</v>
      </c>
      <c r="R38" s="297">
        <f t="shared" si="36"/>
        <v>293874</v>
      </c>
      <c r="S38" s="297">
        <v>29351</v>
      </c>
      <c r="T38" s="297">
        <v>0</v>
      </c>
      <c r="U38" s="297">
        <v>264523</v>
      </c>
      <c r="V38" s="297">
        <v>0</v>
      </c>
      <c r="W38" s="297">
        <f t="shared" si="37"/>
        <v>707720</v>
      </c>
      <c r="X38" s="297">
        <v>0</v>
      </c>
      <c r="Y38" s="297">
        <v>707720</v>
      </c>
      <c r="Z38" s="297">
        <v>378135</v>
      </c>
      <c r="AA38" s="297">
        <f t="shared" si="38"/>
        <v>0</v>
      </c>
      <c r="AB38" s="302">
        <v>0</v>
      </c>
      <c r="AC38" s="302">
        <v>0</v>
      </c>
      <c r="AD38" s="297">
        <v>0</v>
      </c>
      <c r="AE38" s="297">
        <v>0</v>
      </c>
      <c r="AF38" s="297">
        <v>4886453</v>
      </c>
      <c r="AG38" s="297">
        <v>0</v>
      </c>
      <c r="AH38" s="297">
        <v>154538532</v>
      </c>
    </row>
    <row r="39" spans="1:34" s="254" customFormat="1" ht="16.5">
      <c r="A39" s="325" t="s">
        <v>171</v>
      </c>
      <c r="B39" s="297">
        <f t="shared" si="32"/>
        <v>17909493</v>
      </c>
      <c r="C39" s="302">
        <f t="shared" si="33"/>
        <v>4281556</v>
      </c>
      <c r="D39" s="297">
        <v>998111</v>
      </c>
      <c r="E39" s="297">
        <f>1098850+50300</f>
        <v>1149150</v>
      </c>
      <c r="F39" s="297">
        <v>1888137</v>
      </c>
      <c r="G39" s="297">
        <v>246158</v>
      </c>
      <c r="H39" s="302">
        <f t="shared" si="34"/>
        <v>353791</v>
      </c>
      <c r="I39" s="297">
        <v>291243</v>
      </c>
      <c r="J39" s="297">
        <v>0</v>
      </c>
      <c r="K39" s="297">
        <v>62548</v>
      </c>
      <c r="L39" s="297">
        <f t="shared" si="35"/>
        <v>5332867</v>
      </c>
      <c r="M39" s="297">
        <v>645414</v>
      </c>
      <c r="N39" s="297">
        <v>0</v>
      </c>
      <c r="O39" s="297">
        <v>0</v>
      </c>
      <c r="P39" s="297">
        <f>570865+4116588</f>
        <v>4687453</v>
      </c>
      <c r="Q39" s="325" t="s">
        <v>261</v>
      </c>
      <c r="R39" s="297">
        <f t="shared" si="36"/>
        <v>275275</v>
      </c>
      <c r="S39" s="297">
        <v>29351</v>
      </c>
      <c r="T39" s="297">
        <v>0</v>
      </c>
      <c r="U39" s="297">
        <v>245924</v>
      </c>
      <c r="V39" s="297">
        <v>0</v>
      </c>
      <c r="W39" s="297">
        <f t="shared" si="37"/>
        <v>669617</v>
      </c>
      <c r="X39" s="297">
        <v>0</v>
      </c>
      <c r="Y39" s="297">
        <v>669617</v>
      </c>
      <c r="Z39" s="297">
        <v>378135</v>
      </c>
      <c r="AA39" s="297">
        <f t="shared" si="38"/>
        <v>0</v>
      </c>
      <c r="AB39" s="302">
        <v>0</v>
      </c>
      <c r="AC39" s="302">
        <v>0</v>
      </c>
      <c r="AD39" s="297">
        <v>0</v>
      </c>
      <c r="AE39" s="297">
        <f>32670+195916</f>
        <v>228586</v>
      </c>
      <c r="AF39" s="297">
        <v>6389666</v>
      </c>
      <c r="AG39" s="297">
        <v>0</v>
      </c>
      <c r="AH39" s="297">
        <v>153019019</v>
      </c>
    </row>
    <row r="40" spans="1:34" s="254" customFormat="1" ht="16.5">
      <c r="A40" s="325" t="s">
        <v>172</v>
      </c>
      <c r="B40" s="297">
        <f t="shared" si="32"/>
        <v>15776999</v>
      </c>
      <c r="C40" s="302">
        <f t="shared" si="33"/>
        <v>4357315</v>
      </c>
      <c r="D40" s="297">
        <v>958876</v>
      </c>
      <c r="E40" s="297">
        <f>1098850+173900</f>
        <v>1272750</v>
      </c>
      <c r="F40" s="297">
        <v>1865188</v>
      </c>
      <c r="G40" s="297">
        <v>260501</v>
      </c>
      <c r="H40" s="302">
        <f t="shared" si="34"/>
        <v>558411</v>
      </c>
      <c r="I40" s="297">
        <v>317376</v>
      </c>
      <c r="J40" s="297">
        <v>0</v>
      </c>
      <c r="K40" s="297">
        <v>241035</v>
      </c>
      <c r="L40" s="297">
        <f t="shared" si="35"/>
        <v>8844535</v>
      </c>
      <c r="M40" s="297">
        <v>849819</v>
      </c>
      <c r="N40" s="297">
        <v>165</v>
      </c>
      <c r="O40" s="297">
        <v>0</v>
      </c>
      <c r="P40" s="297">
        <f>564000+7430551</f>
        <v>7994551</v>
      </c>
      <c r="Q40" s="325" t="s">
        <v>262</v>
      </c>
      <c r="R40" s="297">
        <f t="shared" si="36"/>
        <v>352455</v>
      </c>
      <c r="S40" s="297">
        <v>29351</v>
      </c>
      <c r="T40" s="297">
        <v>0</v>
      </c>
      <c r="U40" s="297">
        <v>323104</v>
      </c>
      <c r="V40" s="297">
        <v>0</v>
      </c>
      <c r="W40" s="297">
        <f t="shared" si="37"/>
        <v>728168</v>
      </c>
      <c r="X40" s="297">
        <v>45600</v>
      </c>
      <c r="Y40" s="297">
        <v>682568</v>
      </c>
      <c r="Z40" s="297">
        <v>378135</v>
      </c>
      <c r="AA40" s="297">
        <f t="shared" si="38"/>
        <v>0</v>
      </c>
      <c r="AB40" s="302">
        <v>0</v>
      </c>
      <c r="AC40" s="302">
        <v>0</v>
      </c>
      <c r="AD40" s="297">
        <v>0</v>
      </c>
      <c r="AE40" s="297">
        <v>0</v>
      </c>
      <c r="AF40" s="297">
        <v>557980</v>
      </c>
      <c r="AG40" s="297">
        <v>0</v>
      </c>
      <c r="AH40" s="297">
        <v>154564297</v>
      </c>
    </row>
    <row r="41" spans="1:34" s="254" customFormat="1" ht="16.5">
      <c r="A41" s="325" t="s">
        <v>173</v>
      </c>
      <c r="B41" s="297">
        <f aca="true" t="shared" si="39" ref="B41:B46">C41+H41+L41+R41+W41+Z41+AA41+AD41+AE41+AF41</f>
        <v>9565044</v>
      </c>
      <c r="C41" s="302">
        <f aca="true" t="shared" si="40" ref="C41:C46">SUM(D41:G41)</f>
        <v>4931851</v>
      </c>
      <c r="D41" s="297">
        <v>1055876</v>
      </c>
      <c r="E41" s="297">
        <f>1083658+73500</f>
        <v>1157158</v>
      </c>
      <c r="F41" s="297">
        <v>2435247</v>
      </c>
      <c r="G41" s="297">
        <v>283570</v>
      </c>
      <c r="H41" s="302">
        <f aca="true" t="shared" si="41" ref="H41:H46">SUM(I41:K41)</f>
        <v>875423</v>
      </c>
      <c r="I41" s="297">
        <v>367159</v>
      </c>
      <c r="J41" s="297">
        <v>0</v>
      </c>
      <c r="K41" s="297">
        <v>508264</v>
      </c>
      <c r="L41" s="297">
        <f aca="true" t="shared" si="42" ref="L41:L46">SUM(M41:P41)</f>
        <v>2022493</v>
      </c>
      <c r="M41" s="297">
        <v>420690</v>
      </c>
      <c r="N41" s="297">
        <v>450</v>
      </c>
      <c r="O41" s="297">
        <v>0</v>
      </c>
      <c r="P41" s="297">
        <f>612718+988635</f>
        <v>1601353</v>
      </c>
      <c r="Q41" s="325" t="s">
        <v>263</v>
      </c>
      <c r="R41" s="297">
        <f aca="true" t="shared" si="43" ref="R41:R46">SUM(S41:V41)</f>
        <v>334409</v>
      </c>
      <c r="S41" s="297">
        <v>29351</v>
      </c>
      <c r="T41" s="297">
        <v>0</v>
      </c>
      <c r="U41" s="297">
        <v>305058</v>
      </c>
      <c r="V41" s="297">
        <v>0</v>
      </c>
      <c r="W41" s="297">
        <f aca="true" t="shared" si="44" ref="W41:W46">SUM(X41:Y41)</f>
        <v>874538</v>
      </c>
      <c r="X41" s="297">
        <v>45410</v>
      </c>
      <c r="Y41" s="297">
        <v>829128</v>
      </c>
      <c r="Z41" s="297">
        <v>426409</v>
      </c>
      <c r="AA41" s="297">
        <f t="shared" si="38"/>
        <v>0</v>
      </c>
      <c r="AB41" s="302">
        <v>0</v>
      </c>
      <c r="AC41" s="302">
        <v>0</v>
      </c>
      <c r="AD41" s="297">
        <v>0</v>
      </c>
      <c r="AE41" s="297">
        <v>0</v>
      </c>
      <c r="AF41" s="297">
        <v>99921</v>
      </c>
      <c r="AG41" s="297">
        <v>0</v>
      </c>
      <c r="AH41" s="297">
        <v>158829257</v>
      </c>
    </row>
    <row r="42" spans="1:34" s="254" customFormat="1" ht="16.5">
      <c r="A42" s="325" t="s">
        <v>174</v>
      </c>
      <c r="B42" s="297">
        <f t="shared" si="39"/>
        <v>22722384</v>
      </c>
      <c r="C42" s="302">
        <f t="shared" si="40"/>
        <v>7124140</v>
      </c>
      <c r="D42" s="297">
        <v>1070873</v>
      </c>
      <c r="E42" s="297">
        <f>1379376+94821</f>
        <v>1474197</v>
      </c>
      <c r="F42" s="297">
        <v>4316105</v>
      </c>
      <c r="G42" s="297">
        <v>262965</v>
      </c>
      <c r="H42" s="302">
        <f t="shared" si="41"/>
        <v>343325</v>
      </c>
      <c r="I42" s="297">
        <v>271373</v>
      </c>
      <c r="J42" s="297">
        <v>0</v>
      </c>
      <c r="K42" s="297">
        <v>71952</v>
      </c>
      <c r="L42" s="297">
        <f t="shared" si="42"/>
        <v>9529496</v>
      </c>
      <c r="M42" s="297">
        <v>380575</v>
      </c>
      <c r="N42" s="297">
        <v>118</v>
      </c>
      <c r="O42" s="297">
        <v>0</v>
      </c>
      <c r="P42" s="297">
        <f>1433004+7715799</f>
        <v>9148803</v>
      </c>
      <c r="Q42" s="325" t="s">
        <v>264</v>
      </c>
      <c r="R42" s="297">
        <f t="shared" si="43"/>
        <v>314038</v>
      </c>
      <c r="S42" s="297">
        <v>29351</v>
      </c>
      <c r="T42" s="297">
        <v>0</v>
      </c>
      <c r="U42" s="297">
        <v>284687</v>
      </c>
      <c r="V42" s="297">
        <v>0</v>
      </c>
      <c r="W42" s="297">
        <f t="shared" si="44"/>
        <v>810712</v>
      </c>
      <c r="X42" s="297">
        <v>2955</v>
      </c>
      <c r="Y42" s="297">
        <v>807757</v>
      </c>
      <c r="Z42" s="297">
        <v>936087</v>
      </c>
      <c r="AA42" s="297">
        <f t="shared" si="38"/>
        <v>0</v>
      </c>
      <c r="AB42" s="302">
        <v>0</v>
      </c>
      <c r="AC42" s="302">
        <v>0</v>
      </c>
      <c r="AD42" s="297">
        <v>0</v>
      </c>
      <c r="AE42" s="297">
        <v>146475</v>
      </c>
      <c r="AF42" s="297">
        <v>3518111</v>
      </c>
      <c r="AG42" s="297">
        <v>0</v>
      </c>
      <c r="AH42" s="297">
        <v>152849471</v>
      </c>
    </row>
    <row r="43" spans="1:34" s="254" customFormat="1" ht="16.5">
      <c r="A43" s="325" t="s">
        <v>265</v>
      </c>
      <c r="B43" s="297">
        <f t="shared" si="39"/>
        <v>9134719</v>
      </c>
      <c r="C43" s="302">
        <f t="shared" si="40"/>
        <v>4578539</v>
      </c>
      <c r="D43" s="297">
        <v>922876</v>
      </c>
      <c r="E43" s="297">
        <f>1001609+15679</f>
        <v>1017288</v>
      </c>
      <c r="F43" s="297">
        <v>2374110</v>
      </c>
      <c r="G43" s="297">
        <v>264265</v>
      </c>
      <c r="H43" s="302">
        <f t="shared" si="41"/>
        <v>286004</v>
      </c>
      <c r="I43" s="297">
        <v>255914</v>
      </c>
      <c r="J43" s="297">
        <v>0</v>
      </c>
      <c r="K43" s="297">
        <v>30090</v>
      </c>
      <c r="L43" s="297">
        <f t="shared" si="42"/>
        <v>2617667</v>
      </c>
      <c r="M43" s="297">
        <f>320231+188000</f>
        <v>508231</v>
      </c>
      <c r="N43" s="297">
        <v>155</v>
      </c>
      <c r="O43" s="297">
        <v>0</v>
      </c>
      <c r="P43" s="297">
        <f>401942+1707339</f>
        <v>2109281</v>
      </c>
      <c r="Q43" s="325" t="s">
        <v>265</v>
      </c>
      <c r="R43" s="297">
        <f t="shared" si="43"/>
        <v>333358</v>
      </c>
      <c r="S43" s="297">
        <v>29351</v>
      </c>
      <c r="T43" s="297">
        <v>0</v>
      </c>
      <c r="U43" s="297">
        <v>304007</v>
      </c>
      <c r="V43" s="297">
        <v>0</v>
      </c>
      <c r="W43" s="297">
        <f t="shared" si="44"/>
        <v>767489</v>
      </c>
      <c r="X43" s="297">
        <v>34950</v>
      </c>
      <c r="Y43" s="297">
        <v>732539</v>
      </c>
      <c r="Z43" s="297">
        <v>392662</v>
      </c>
      <c r="AA43" s="297">
        <f t="shared" si="38"/>
        <v>0</v>
      </c>
      <c r="AB43" s="302">
        <v>0</v>
      </c>
      <c r="AC43" s="302">
        <v>0</v>
      </c>
      <c r="AD43" s="297">
        <v>0</v>
      </c>
      <c r="AE43" s="297">
        <v>157000</v>
      </c>
      <c r="AF43" s="297">
        <v>2000</v>
      </c>
      <c r="AG43" s="297">
        <v>0</v>
      </c>
      <c r="AH43" s="297">
        <v>164079335</v>
      </c>
    </row>
    <row r="44" spans="1:34" s="254" customFormat="1" ht="16.5">
      <c r="A44" s="325" t="s">
        <v>266</v>
      </c>
      <c r="B44" s="297">
        <f t="shared" si="39"/>
        <v>13762510</v>
      </c>
      <c r="C44" s="302">
        <f t="shared" si="40"/>
        <v>5539424</v>
      </c>
      <c r="D44" s="297">
        <v>1189876</v>
      </c>
      <c r="E44" s="297">
        <f>1006650+183840</f>
        <v>1190490</v>
      </c>
      <c r="F44" s="297">
        <v>2894344</v>
      </c>
      <c r="G44" s="297">
        <v>264714</v>
      </c>
      <c r="H44" s="302">
        <f t="shared" si="41"/>
        <v>372628</v>
      </c>
      <c r="I44" s="297">
        <v>324768</v>
      </c>
      <c r="J44" s="297">
        <v>0</v>
      </c>
      <c r="K44" s="297">
        <v>47860</v>
      </c>
      <c r="L44" s="297">
        <f t="shared" si="42"/>
        <v>3910386</v>
      </c>
      <c r="M44" s="297">
        <v>712052</v>
      </c>
      <c r="N44" s="297">
        <v>0</v>
      </c>
      <c r="O44" s="297">
        <v>0</v>
      </c>
      <c r="P44" s="297">
        <f>733145+2465189</f>
        <v>3198334</v>
      </c>
      <c r="Q44" s="325" t="s">
        <v>266</v>
      </c>
      <c r="R44" s="297">
        <f t="shared" si="43"/>
        <v>354687</v>
      </c>
      <c r="S44" s="297">
        <v>29351</v>
      </c>
      <c r="T44" s="297">
        <v>0</v>
      </c>
      <c r="U44" s="297">
        <v>325336</v>
      </c>
      <c r="V44" s="297">
        <v>0</v>
      </c>
      <c r="W44" s="297">
        <f t="shared" si="44"/>
        <v>815975</v>
      </c>
      <c r="X44" s="297">
        <v>0</v>
      </c>
      <c r="Y44" s="297">
        <v>815975</v>
      </c>
      <c r="Z44" s="297">
        <v>385462</v>
      </c>
      <c r="AA44" s="297">
        <f>SUM(AB44:AC44)</f>
        <v>0</v>
      </c>
      <c r="AB44" s="302">
        <v>0</v>
      </c>
      <c r="AC44" s="302">
        <v>0</v>
      </c>
      <c r="AD44" s="297">
        <v>0</v>
      </c>
      <c r="AE44" s="297">
        <f>182500+307053</f>
        <v>489553</v>
      </c>
      <c r="AF44" s="297">
        <v>1894395</v>
      </c>
      <c r="AG44" s="297">
        <v>0</v>
      </c>
      <c r="AH44" s="297">
        <v>161171149</v>
      </c>
    </row>
    <row r="45" spans="1:34" s="254" customFormat="1" ht="16.5">
      <c r="A45" s="325" t="s">
        <v>175</v>
      </c>
      <c r="B45" s="297">
        <f t="shared" si="39"/>
        <v>15096549</v>
      </c>
      <c r="C45" s="302">
        <f t="shared" si="40"/>
        <v>4672095</v>
      </c>
      <c r="D45" s="297">
        <v>1009876</v>
      </c>
      <c r="E45" s="297">
        <v>1143457</v>
      </c>
      <c r="F45" s="297">
        <f>2137749</f>
        <v>2137749</v>
      </c>
      <c r="G45" s="297">
        <v>381013</v>
      </c>
      <c r="H45" s="302">
        <f t="shared" si="41"/>
        <v>362390</v>
      </c>
      <c r="I45" s="297">
        <v>308320</v>
      </c>
      <c r="J45" s="297">
        <v>0</v>
      </c>
      <c r="K45" s="297">
        <v>54070</v>
      </c>
      <c r="L45" s="297">
        <f t="shared" si="42"/>
        <v>6736236</v>
      </c>
      <c r="M45" s="297">
        <v>255027</v>
      </c>
      <c r="N45" s="297">
        <v>3380</v>
      </c>
      <c r="O45" s="297">
        <v>0</v>
      </c>
      <c r="P45" s="297">
        <f>986652+5491177</f>
        <v>6477829</v>
      </c>
      <c r="Q45" s="325" t="s">
        <v>267</v>
      </c>
      <c r="R45" s="297">
        <f t="shared" si="43"/>
        <v>332241</v>
      </c>
      <c r="S45" s="297">
        <v>29351</v>
      </c>
      <c r="T45" s="297">
        <v>0</v>
      </c>
      <c r="U45" s="297">
        <v>302890</v>
      </c>
      <c r="V45" s="297">
        <v>0</v>
      </c>
      <c r="W45" s="297">
        <f t="shared" si="44"/>
        <v>2098811</v>
      </c>
      <c r="X45" s="297">
        <v>96000</v>
      </c>
      <c r="Y45" s="297">
        <f>862811+1140000</f>
        <v>2002811</v>
      </c>
      <c r="Z45" s="297">
        <v>403612</v>
      </c>
      <c r="AA45" s="297">
        <f>SUM(AB45:AC45)</f>
        <v>0</v>
      </c>
      <c r="AB45" s="302">
        <v>0</v>
      </c>
      <c r="AC45" s="302">
        <v>0</v>
      </c>
      <c r="AD45" s="297">
        <v>0</v>
      </c>
      <c r="AE45" s="297">
        <v>490408</v>
      </c>
      <c r="AF45" s="297">
        <v>756</v>
      </c>
      <c r="AG45" s="297">
        <v>0</v>
      </c>
      <c r="AH45" s="297">
        <v>158388766</v>
      </c>
    </row>
    <row r="46" spans="1:34" s="254" customFormat="1" ht="16.5">
      <c r="A46" s="325" t="s">
        <v>176</v>
      </c>
      <c r="B46" s="326">
        <f t="shared" si="39"/>
        <v>44774076</v>
      </c>
      <c r="C46" s="302">
        <f t="shared" si="40"/>
        <v>14847830</v>
      </c>
      <c r="D46" s="327">
        <f>815776-4163</f>
        <v>811613</v>
      </c>
      <c r="E46" s="327">
        <f>2595465+280720</f>
        <v>2876185</v>
      </c>
      <c r="F46" s="327">
        <f>10659259+99800</f>
        <v>10759059</v>
      </c>
      <c r="G46" s="327">
        <v>400973</v>
      </c>
      <c r="H46" s="302">
        <f t="shared" si="41"/>
        <v>2847678</v>
      </c>
      <c r="I46" s="327">
        <v>2239867</v>
      </c>
      <c r="J46" s="297">
        <v>0</v>
      </c>
      <c r="K46" s="327">
        <f>602867+4944</f>
        <v>607811</v>
      </c>
      <c r="L46" s="297">
        <f t="shared" si="42"/>
        <v>22559717</v>
      </c>
      <c r="M46" s="327">
        <f>1388880+330000</f>
        <v>1718880</v>
      </c>
      <c r="N46" s="327">
        <v>506000</v>
      </c>
      <c r="O46" s="297">
        <v>0</v>
      </c>
      <c r="P46" s="327">
        <f>3750292+16584545</f>
        <v>20334837</v>
      </c>
      <c r="Q46" s="325" t="s">
        <v>268</v>
      </c>
      <c r="R46" s="297">
        <f t="shared" si="43"/>
        <v>2066361</v>
      </c>
      <c r="S46" s="327">
        <v>58702</v>
      </c>
      <c r="T46" s="297">
        <v>0</v>
      </c>
      <c r="U46" s="327">
        <v>2007659</v>
      </c>
      <c r="V46" s="297">
        <v>0</v>
      </c>
      <c r="W46" s="297">
        <f t="shared" si="44"/>
        <v>1874573</v>
      </c>
      <c r="X46" s="327">
        <v>43327</v>
      </c>
      <c r="Y46" s="327">
        <f>1381946+449300</f>
        <v>1831246</v>
      </c>
      <c r="Z46" s="297">
        <v>385462</v>
      </c>
      <c r="AA46" s="302">
        <f>SUM(AB46:AC46)</f>
        <v>0</v>
      </c>
      <c r="AB46" s="302">
        <v>0</v>
      </c>
      <c r="AC46" s="302">
        <v>0</v>
      </c>
      <c r="AD46" s="302">
        <v>0</v>
      </c>
      <c r="AE46" s="327">
        <v>92575</v>
      </c>
      <c r="AF46" s="327">
        <v>99880</v>
      </c>
      <c r="AG46" s="302">
        <v>0</v>
      </c>
      <c r="AH46" s="302">
        <v>138329233</v>
      </c>
    </row>
    <row r="47" spans="1:2" ht="19.5" customHeight="1">
      <c r="A47" s="51"/>
      <c r="B47" s="14"/>
    </row>
    <row r="48" spans="1:2" ht="19.5" customHeight="1">
      <c r="A48" s="51"/>
      <c r="B48" s="14"/>
    </row>
    <row r="49" spans="1:2" ht="19.5" customHeight="1">
      <c r="A49" s="51"/>
      <c r="B49" s="14"/>
    </row>
    <row r="50" spans="1:2" ht="19.5" customHeight="1">
      <c r="A50" s="51"/>
      <c r="B50" s="14"/>
    </row>
    <row r="51" spans="1:2" ht="19.5" customHeight="1">
      <c r="A51" s="51"/>
      <c r="B51" s="14"/>
    </row>
    <row r="52" spans="1:2" ht="19.5" customHeight="1">
      <c r="A52" s="51"/>
      <c r="B52" s="14"/>
    </row>
    <row r="53" spans="1:2" ht="19.5" customHeight="1">
      <c r="A53" s="51"/>
      <c r="B53" s="14"/>
    </row>
    <row r="54" spans="1:2" ht="19.5" customHeight="1">
      <c r="A54" s="51"/>
      <c r="B54" s="14"/>
    </row>
    <row r="55" spans="1:2" ht="19.5" customHeight="1">
      <c r="A55" s="51"/>
      <c r="B55" s="14"/>
    </row>
    <row r="56" spans="1:2" ht="19.5" customHeight="1">
      <c r="A56" s="51"/>
      <c r="B56" s="14"/>
    </row>
    <row r="57" spans="1:2" ht="19.5" customHeight="1">
      <c r="A57" s="51"/>
      <c r="B57" s="14"/>
    </row>
    <row r="58" spans="1:2" ht="19.5" customHeight="1">
      <c r="A58" s="51"/>
      <c r="B58" s="14"/>
    </row>
    <row r="59" spans="1:2" ht="19.5" customHeight="1">
      <c r="A59" s="51"/>
      <c r="B59" s="14"/>
    </row>
    <row r="60" spans="1:2" ht="19.5" customHeight="1">
      <c r="A60" s="51"/>
      <c r="B60" s="14"/>
    </row>
    <row r="61" spans="1:2" ht="19.5" customHeight="1">
      <c r="A61" s="51"/>
      <c r="B61" s="14"/>
    </row>
    <row r="62" spans="1:2" ht="19.5" customHeight="1">
      <c r="A62" s="51"/>
      <c r="B62" s="14"/>
    </row>
    <row r="63" spans="1:2" ht="19.5" customHeight="1">
      <c r="A63" s="51"/>
      <c r="B63" s="14"/>
    </row>
    <row r="64" spans="1:2" ht="19.5" customHeight="1">
      <c r="A64" s="51"/>
      <c r="B64" s="14"/>
    </row>
    <row r="65" spans="1:2" ht="19.5" customHeight="1">
      <c r="A65" s="51"/>
      <c r="B65" s="14"/>
    </row>
    <row r="66" spans="1:2" ht="19.5" customHeight="1">
      <c r="A66" s="51"/>
      <c r="B66" s="14"/>
    </row>
    <row r="67" spans="1:2" ht="19.5" customHeight="1">
      <c r="A67" s="51"/>
      <c r="B67" s="14"/>
    </row>
    <row r="68" spans="1:2" ht="19.5" customHeight="1">
      <c r="A68" s="51"/>
      <c r="B68" s="14"/>
    </row>
    <row r="69" spans="1:2" ht="19.5" customHeight="1">
      <c r="A69" s="51"/>
      <c r="B69" s="14"/>
    </row>
    <row r="70" spans="1:2" ht="19.5" customHeight="1">
      <c r="A70" s="51"/>
      <c r="B70" s="14"/>
    </row>
    <row r="71" spans="1:2" ht="19.5" customHeight="1">
      <c r="A71" s="51"/>
      <c r="B71" s="14"/>
    </row>
    <row r="72" spans="1:2" ht="19.5" customHeight="1">
      <c r="A72" s="51"/>
      <c r="B72" s="14"/>
    </row>
    <row r="73" spans="1:2" ht="19.5" customHeight="1">
      <c r="A73" s="51"/>
      <c r="B73" s="14"/>
    </row>
    <row r="74" spans="1:2" ht="19.5" customHeight="1">
      <c r="A74" s="51"/>
      <c r="B74" s="14"/>
    </row>
    <row r="75" spans="1:2" ht="19.5" customHeight="1">
      <c r="A75" s="51"/>
      <c r="B75" s="14"/>
    </row>
    <row r="76" spans="1:2" ht="19.5" customHeight="1">
      <c r="A76" s="51"/>
      <c r="B76" s="14"/>
    </row>
    <row r="77" spans="1:2" ht="19.5" customHeight="1">
      <c r="A77" s="51"/>
      <c r="B77" s="14"/>
    </row>
    <row r="78" spans="1:2" ht="19.5" customHeight="1">
      <c r="A78" s="51"/>
      <c r="B78" s="14"/>
    </row>
    <row r="79" spans="1:2" ht="19.5" customHeight="1">
      <c r="A79" s="51"/>
      <c r="B79" s="14"/>
    </row>
    <row r="80" spans="1:2" ht="19.5" customHeight="1">
      <c r="A80" s="51"/>
      <c r="B80" s="14"/>
    </row>
    <row r="81" spans="1:2" ht="19.5" customHeight="1">
      <c r="A81" s="51"/>
      <c r="B81" s="14"/>
    </row>
    <row r="82" spans="1:2" ht="19.5" customHeight="1">
      <c r="A82" s="51"/>
      <c r="B82" s="14"/>
    </row>
    <row r="83" spans="1:2" ht="19.5" customHeight="1">
      <c r="A83" s="51"/>
      <c r="B83" s="14"/>
    </row>
    <row r="84" spans="1:2" ht="19.5" customHeight="1">
      <c r="A84" s="51"/>
      <c r="B84" s="14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</sheetData>
  <sheetProtection/>
  <mergeCells count="31">
    <mergeCell ref="AH6:AH7"/>
    <mergeCell ref="R6:V6"/>
    <mergeCell ref="AF6:AF7"/>
    <mergeCell ref="AG6:AG7"/>
    <mergeCell ref="AE6:AE7"/>
    <mergeCell ref="AD6:AD7"/>
    <mergeCell ref="W6:Y6"/>
    <mergeCell ref="Z6:Z7"/>
    <mergeCell ref="Q1:R1"/>
    <mergeCell ref="O1:P1"/>
    <mergeCell ref="L6:P6"/>
    <mergeCell ref="Q5:Q6"/>
    <mergeCell ref="H5:P5"/>
    <mergeCell ref="H3:P3"/>
    <mergeCell ref="R5:Y5"/>
    <mergeCell ref="Z5:AE5"/>
    <mergeCell ref="C5:G5"/>
    <mergeCell ref="A7:A8"/>
    <mergeCell ref="B7:B8"/>
    <mergeCell ref="Q7:Q8"/>
    <mergeCell ref="A5:A6"/>
    <mergeCell ref="B5:B6"/>
    <mergeCell ref="C6:G6"/>
    <mergeCell ref="H6:K6"/>
    <mergeCell ref="A2:G2"/>
    <mergeCell ref="A3:G3"/>
    <mergeCell ref="H2:P2"/>
    <mergeCell ref="Q2:Y2"/>
    <mergeCell ref="Q3:Y3"/>
    <mergeCell ref="Z3:AH3"/>
    <mergeCell ref="Z2:AH2"/>
  </mergeCells>
  <printOptions/>
  <pageMargins left="0.7480314960629921" right="0.3937007874015748" top="0.5905511811023623" bottom="0" header="0.5118110236220472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2" sqref="D32"/>
    </sheetView>
  </sheetViews>
  <sheetFormatPr defaultColWidth="8.875" defaultRowHeight="16.5"/>
  <cols>
    <col min="1" max="1" width="13.25390625" style="177" customWidth="1"/>
    <col min="2" max="2" width="12.00390625" style="177" customWidth="1"/>
    <col min="3" max="7" width="12.00390625" style="192" customWidth="1"/>
    <col min="8" max="8" width="13.25390625" style="192" customWidth="1"/>
    <col min="9" max="9" width="13.875" style="192" customWidth="1"/>
    <col min="10" max="13" width="13.25390625" style="192" customWidth="1"/>
    <col min="14" max="16384" width="8.875" style="192" customWidth="1"/>
  </cols>
  <sheetData>
    <row r="1" spans="1:13" s="177" customFormat="1" ht="16.5">
      <c r="A1" s="241">
        <f>'6-1收'!P1+5</f>
        <v>94</v>
      </c>
      <c r="B1" s="174"/>
      <c r="C1" s="175"/>
      <c r="D1" s="175"/>
      <c r="E1" s="175"/>
      <c r="F1" s="175"/>
      <c r="G1" s="175"/>
      <c r="H1" s="176"/>
      <c r="I1" s="175"/>
      <c r="J1" s="175"/>
      <c r="K1" s="175"/>
      <c r="L1" s="175"/>
      <c r="M1" s="101">
        <f>A1+1</f>
        <v>95</v>
      </c>
    </row>
    <row r="2" spans="1:13" s="177" customFormat="1" ht="21">
      <c r="A2" s="410" t="s">
        <v>354</v>
      </c>
      <c r="B2" s="410"/>
      <c r="C2" s="410"/>
      <c r="D2" s="410"/>
      <c r="E2" s="410"/>
      <c r="F2" s="410"/>
      <c r="G2" s="410"/>
      <c r="H2" s="404" t="s">
        <v>355</v>
      </c>
      <c r="I2" s="404"/>
      <c r="J2" s="404"/>
      <c r="K2" s="404"/>
      <c r="L2" s="404"/>
      <c r="M2" s="404"/>
    </row>
    <row r="3" spans="1:13" s="178" customFormat="1" ht="16.5">
      <c r="A3" s="405" t="s">
        <v>189</v>
      </c>
      <c r="B3" s="405"/>
      <c r="C3" s="405"/>
      <c r="D3" s="405"/>
      <c r="E3" s="405"/>
      <c r="F3" s="405"/>
      <c r="G3" s="405"/>
      <c r="H3" s="405" t="s">
        <v>193</v>
      </c>
      <c r="I3" s="405"/>
      <c r="J3" s="405"/>
      <c r="K3" s="405"/>
      <c r="L3" s="405"/>
      <c r="M3" s="405"/>
    </row>
    <row r="4" spans="1:13" s="177" customFormat="1" ht="17.25" thickBot="1">
      <c r="A4" s="179" t="s">
        <v>0</v>
      </c>
      <c r="B4" s="180"/>
      <c r="C4" s="181"/>
      <c r="D4" s="181"/>
      <c r="E4" s="181"/>
      <c r="F4" s="181"/>
      <c r="G4" s="181"/>
      <c r="H4" s="180"/>
      <c r="I4" s="181"/>
      <c r="J4" s="181"/>
      <c r="K4" s="181"/>
      <c r="L4" s="181"/>
      <c r="M4" s="182" t="s">
        <v>67</v>
      </c>
    </row>
    <row r="5" spans="1:13" s="177" customFormat="1" ht="27" customHeight="1">
      <c r="A5" s="408" t="s">
        <v>134</v>
      </c>
      <c r="B5" s="409"/>
      <c r="C5" s="183" t="s">
        <v>1</v>
      </c>
      <c r="D5" s="183" t="s">
        <v>2</v>
      </c>
      <c r="E5" s="184" t="s">
        <v>7</v>
      </c>
      <c r="F5" s="183" t="s">
        <v>3</v>
      </c>
      <c r="G5" s="186" t="s">
        <v>4</v>
      </c>
      <c r="H5" s="185" t="s">
        <v>63</v>
      </c>
      <c r="I5" s="183" t="s">
        <v>5</v>
      </c>
      <c r="J5" s="184" t="s">
        <v>135</v>
      </c>
      <c r="K5" s="184" t="s">
        <v>136</v>
      </c>
      <c r="L5" s="184" t="s">
        <v>137</v>
      </c>
      <c r="M5" s="186" t="s">
        <v>6</v>
      </c>
    </row>
    <row r="6" spans="1:13" s="177" customFormat="1" ht="52.5" customHeight="1" thickBot="1">
      <c r="A6" s="406" t="s">
        <v>138</v>
      </c>
      <c r="B6" s="407"/>
      <c r="C6" s="188" t="s">
        <v>81</v>
      </c>
      <c r="D6" s="188" t="s">
        <v>139</v>
      </c>
      <c r="E6" s="188" t="s">
        <v>140</v>
      </c>
      <c r="F6" s="188" t="s">
        <v>141</v>
      </c>
      <c r="G6" s="189" t="s">
        <v>83</v>
      </c>
      <c r="H6" s="187" t="s">
        <v>142</v>
      </c>
      <c r="I6" s="189" t="s">
        <v>143</v>
      </c>
      <c r="J6" s="188" t="s">
        <v>144</v>
      </c>
      <c r="K6" s="188" t="s">
        <v>84</v>
      </c>
      <c r="L6" s="188" t="s">
        <v>145</v>
      </c>
      <c r="M6" s="190" t="s">
        <v>85</v>
      </c>
    </row>
    <row r="7" spans="1:13" ht="24.75" customHeight="1">
      <c r="A7" s="191" t="s">
        <v>294</v>
      </c>
      <c r="B7" s="310" t="s">
        <v>271</v>
      </c>
      <c r="C7" s="193">
        <v>106342</v>
      </c>
      <c r="D7" s="193">
        <v>84731</v>
      </c>
      <c r="E7" s="257">
        <v>0</v>
      </c>
      <c r="F7" s="194">
        <v>40</v>
      </c>
      <c r="G7" s="194">
        <v>8052</v>
      </c>
      <c r="H7" s="257">
        <v>0</v>
      </c>
      <c r="I7" s="194">
        <v>106</v>
      </c>
      <c r="J7" s="257">
        <v>0</v>
      </c>
      <c r="K7" s="194">
        <v>13119</v>
      </c>
      <c r="L7" s="257">
        <v>0</v>
      </c>
      <c r="M7" s="194">
        <v>294</v>
      </c>
    </row>
    <row r="8" spans="1:13" ht="24.75" customHeight="1">
      <c r="A8" s="244">
        <v>2009</v>
      </c>
      <c r="B8" s="311" t="s">
        <v>272</v>
      </c>
      <c r="C8" s="195">
        <v>146312</v>
      </c>
      <c r="D8" s="196">
        <v>67044</v>
      </c>
      <c r="E8" s="258">
        <v>0</v>
      </c>
      <c r="F8" s="196">
        <v>170</v>
      </c>
      <c r="G8" s="196">
        <v>9555</v>
      </c>
      <c r="H8" s="258">
        <v>0</v>
      </c>
      <c r="I8" s="196">
        <v>249</v>
      </c>
      <c r="J8" s="258">
        <v>0</v>
      </c>
      <c r="K8" s="196">
        <v>68717</v>
      </c>
      <c r="L8" s="258">
        <v>0</v>
      </c>
      <c r="M8" s="196">
        <v>577</v>
      </c>
    </row>
    <row r="9" spans="1:13" ht="24.75" customHeight="1">
      <c r="A9" s="191" t="s">
        <v>297</v>
      </c>
      <c r="B9" s="310" t="s">
        <v>271</v>
      </c>
      <c r="C9" s="193">
        <v>89965</v>
      </c>
      <c r="D9" s="193">
        <v>72360</v>
      </c>
      <c r="E9" s="257">
        <v>0</v>
      </c>
      <c r="F9" s="194">
        <v>40</v>
      </c>
      <c r="G9" s="194">
        <v>3800</v>
      </c>
      <c r="H9" s="257">
        <v>0</v>
      </c>
      <c r="I9" s="194">
        <v>47</v>
      </c>
      <c r="J9" s="257">
        <v>0</v>
      </c>
      <c r="K9" s="194">
        <v>13524</v>
      </c>
      <c r="L9" s="257">
        <v>0</v>
      </c>
      <c r="M9" s="194">
        <v>194</v>
      </c>
    </row>
    <row r="10" spans="1:13" ht="24.75" customHeight="1">
      <c r="A10" s="244">
        <v>2010</v>
      </c>
      <c r="B10" s="311" t="s">
        <v>272</v>
      </c>
      <c r="C10" s="195">
        <v>127246</v>
      </c>
      <c r="D10" s="196">
        <v>74078</v>
      </c>
      <c r="E10" s="258">
        <v>0</v>
      </c>
      <c r="F10" s="196">
        <v>74</v>
      </c>
      <c r="G10" s="196">
        <v>16700</v>
      </c>
      <c r="H10" s="258">
        <v>0</v>
      </c>
      <c r="I10" s="196">
        <v>14</v>
      </c>
      <c r="J10" s="258">
        <v>0</v>
      </c>
      <c r="K10" s="196">
        <v>35578</v>
      </c>
      <c r="L10" s="258">
        <v>0</v>
      </c>
      <c r="M10" s="196">
        <v>802</v>
      </c>
    </row>
    <row r="11" spans="1:13" ht="24.75" customHeight="1">
      <c r="A11" s="191" t="s">
        <v>300</v>
      </c>
      <c r="B11" s="310" t="s">
        <v>271</v>
      </c>
      <c r="C11" s="193">
        <v>102210</v>
      </c>
      <c r="D11" s="193">
        <v>83304</v>
      </c>
      <c r="E11" s="257">
        <v>0</v>
      </c>
      <c r="F11" s="194">
        <v>160</v>
      </c>
      <c r="G11" s="194">
        <v>4170</v>
      </c>
      <c r="H11" s="257">
        <v>0</v>
      </c>
      <c r="I11" s="194">
        <v>13</v>
      </c>
      <c r="J11" s="257">
        <v>0</v>
      </c>
      <c r="K11" s="194">
        <v>14350</v>
      </c>
      <c r="L11" s="257">
        <v>0</v>
      </c>
      <c r="M11" s="194">
        <v>213</v>
      </c>
    </row>
    <row r="12" spans="1:13" ht="24.75" customHeight="1">
      <c r="A12" s="244" t="s">
        <v>301</v>
      </c>
      <c r="B12" s="311" t="s">
        <v>272</v>
      </c>
      <c r="C12" s="195">
        <v>162171</v>
      </c>
      <c r="D12" s="196">
        <v>83988</v>
      </c>
      <c r="E12" s="258">
        <v>0</v>
      </c>
      <c r="F12" s="196">
        <v>133</v>
      </c>
      <c r="G12" s="196">
        <v>4920</v>
      </c>
      <c r="H12" s="258">
        <v>0</v>
      </c>
      <c r="I12" s="196">
        <v>23</v>
      </c>
      <c r="J12" s="258">
        <v>0</v>
      </c>
      <c r="K12" s="196">
        <v>70314</v>
      </c>
      <c r="L12" s="258">
        <v>0</v>
      </c>
      <c r="M12" s="196">
        <v>2793</v>
      </c>
    </row>
    <row r="13" spans="1:13" ht="24.75" customHeight="1">
      <c r="A13" s="191" t="s">
        <v>318</v>
      </c>
      <c r="B13" s="310" t="s">
        <v>271</v>
      </c>
      <c r="C13" s="193">
        <v>104700</v>
      </c>
      <c r="D13" s="193">
        <v>87307</v>
      </c>
      <c r="E13" s="257">
        <v>0</v>
      </c>
      <c r="F13" s="194">
        <v>50</v>
      </c>
      <c r="G13" s="194">
        <v>3881</v>
      </c>
      <c r="H13" s="257">
        <v>0</v>
      </c>
      <c r="I13" s="194">
        <v>17</v>
      </c>
      <c r="J13" s="257">
        <v>0</v>
      </c>
      <c r="K13" s="194">
        <v>13284</v>
      </c>
      <c r="L13" s="257">
        <v>0</v>
      </c>
      <c r="M13" s="194">
        <v>161</v>
      </c>
    </row>
    <row r="14" spans="1:13" ht="24.75" customHeight="1">
      <c r="A14" s="244" t="s">
        <v>315</v>
      </c>
      <c r="B14" s="311" t="s">
        <v>272</v>
      </c>
      <c r="C14" s="195">
        <v>185032</v>
      </c>
      <c r="D14" s="196">
        <v>109233</v>
      </c>
      <c r="E14" s="258">
        <v>0</v>
      </c>
      <c r="F14" s="196">
        <v>30</v>
      </c>
      <c r="G14" s="196">
        <v>3866</v>
      </c>
      <c r="H14" s="258">
        <v>0</v>
      </c>
      <c r="I14" s="196">
        <v>27</v>
      </c>
      <c r="J14" s="258">
        <v>0</v>
      </c>
      <c r="K14" s="196">
        <v>69806</v>
      </c>
      <c r="L14" s="258">
        <v>0</v>
      </c>
      <c r="M14" s="196">
        <v>2070</v>
      </c>
    </row>
    <row r="15" spans="1:13" ht="24.75" customHeight="1">
      <c r="A15" s="191" t="s">
        <v>343</v>
      </c>
      <c r="B15" s="310" t="s">
        <v>271</v>
      </c>
      <c r="C15" s="193">
        <v>129816</v>
      </c>
      <c r="D15" s="193">
        <v>92147</v>
      </c>
      <c r="E15" s="257">
        <v>0</v>
      </c>
      <c r="F15" s="194">
        <v>20</v>
      </c>
      <c r="G15" s="194">
        <v>3564</v>
      </c>
      <c r="H15" s="257">
        <v>0</v>
      </c>
      <c r="I15" s="194">
        <v>20</v>
      </c>
      <c r="J15" s="257">
        <v>0</v>
      </c>
      <c r="K15" s="194">
        <v>33378</v>
      </c>
      <c r="L15" s="257">
        <v>0</v>
      </c>
      <c r="M15" s="194">
        <v>687</v>
      </c>
    </row>
    <row r="16" spans="1:13" ht="24.75" customHeight="1">
      <c r="A16" s="244" t="s">
        <v>344</v>
      </c>
      <c r="B16" s="311" t="s">
        <v>272</v>
      </c>
      <c r="C16" s="195">
        <v>169491</v>
      </c>
      <c r="D16" s="196">
        <v>97282</v>
      </c>
      <c r="E16" s="258">
        <v>0</v>
      </c>
      <c r="F16" s="196">
        <v>37</v>
      </c>
      <c r="G16" s="196">
        <v>4409</v>
      </c>
      <c r="H16" s="258">
        <v>0</v>
      </c>
      <c r="I16" s="196">
        <v>37</v>
      </c>
      <c r="J16" s="258">
        <v>0</v>
      </c>
      <c r="K16" s="196">
        <v>66532</v>
      </c>
      <c r="L16" s="258">
        <v>0</v>
      </c>
      <c r="M16" s="196">
        <v>1194</v>
      </c>
    </row>
    <row r="17" spans="1:13" ht="24.75" customHeight="1">
      <c r="A17" s="191" t="s">
        <v>374</v>
      </c>
      <c r="B17" s="310" t="s">
        <v>146</v>
      </c>
      <c r="C17" s="193">
        <v>132796</v>
      </c>
      <c r="D17" s="193">
        <v>93219</v>
      </c>
      <c r="E17" s="257">
        <v>0</v>
      </c>
      <c r="F17" s="194">
        <v>20</v>
      </c>
      <c r="G17" s="194">
        <v>3352</v>
      </c>
      <c r="H17" s="257">
        <v>0</v>
      </c>
      <c r="I17" s="194">
        <v>166</v>
      </c>
      <c r="J17" s="257">
        <v>0</v>
      </c>
      <c r="K17" s="194">
        <v>35108</v>
      </c>
      <c r="L17" s="257">
        <v>0</v>
      </c>
      <c r="M17" s="194">
        <v>931</v>
      </c>
    </row>
    <row r="18" spans="1:13" ht="24.75" customHeight="1">
      <c r="A18" s="244" t="s">
        <v>375</v>
      </c>
      <c r="B18" s="311" t="s">
        <v>147</v>
      </c>
      <c r="C18" s="195">
        <v>149445</v>
      </c>
      <c r="D18" s="196">
        <v>94060</v>
      </c>
      <c r="E18" s="258">
        <v>0</v>
      </c>
      <c r="F18" s="196">
        <v>47</v>
      </c>
      <c r="G18" s="196">
        <v>5420</v>
      </c>
      <c r="H18" s="258">
        <v>0</v>
      </c>
      <c r="I18" s="196">
        <v>169</v>
      </c>
      <c r="J18" s="258">
        <v>0</v>
      </c>
      <c r="K18" s="196">
        <f>35108+12776</f>
        <v>47884</v>
      </c>
      <c r="L18" s="258">
        <v>0</v>
      </c>
      <c r="M18" s="196">
        <f>931+934</f>
        <v>1865</v>
      </c>
    </row>
    <row r="19" spans="1:13" ht="24.75" customHeight="1">
      <c r="A19" s="191" t="s">
        <v>383</v>
      </c>
      <c r="B19" s="310" t="s">
        <v>271</v>
      </c>
      <c r="C19" s="193">
        <v>134758</v>
      </c>
      <c r="D19" s="193">
        <v>99862</v>
      </c>
      <c r="E19" s="257">
        <v>0</v>
      </c>
      <c r="F19" s="194">
        <v>20</v>
      </c>
      <c r="G19" s="194">
        <v>2894</v>
      </c>
      <c r="H19" s="257">
        <v>0</v>
      </c>
      <c r="I19" s="194">
        <v>166</v>
      </c>
      <c r="J19" s="257">
        <v>0</v>
      </c>
      <c r="K19" s="194">
        <v>30317</v>
      </c>
      <c r="L19" s="257">
        <v>0</v>
      </c>
      <c r="M19" s="194">
        <v>1499</v>
      </c>
    </row>
    <row r="20" spans="1:13" ht="24.75" customHeight="1">
      <c r="A20" s="244" t="s">
        <v>384</v>
      </c>
      <c r="B20" s="311" t="s">
        <v>272</v>
      </c>
      <c r="C20" s="195">
        <v>178636</v>
      </c>
      <c r="D20" s="196">
        <v>100180</v>
      </c>
      <c r="E20" s="258">
        <v>0</v>
      </c>
      <c r="F20" s="196">
        <v>41</v>
      </c>
      <c r="G20" s="196">
        <v>4343</v>
      </c>
      <c r="H20" s="258">
        <v>0</v>
      </c>
      <c r="I20" s="196">
        <v>174</v>
      </c>
      <c r="J20" s="258">
        <v>0</v>
      </c>
      <c r="K20" s="196">
        <v>72084</v>
      </c>
      <c r="L20" s="258">
        <v>0</v>
      </c>
      <c r="M20" s="196">
        <v>1814</v>
      </c>
    </row>
    <row r="21" spans="1:13" ht="24.75" customHeight="1">
      <c r="A21" s="191" t="s">
        <v>383</v>
      </c>
      <c r="B21" s="310" t="s">
        <v>146</v>
      </c>
      <c r="C21" s="193">
        <v>134758</v>
      </c>
      <c r="D21" s="193">
        <v>99862</v>
      </c>
      <c r="E21" s="257">
        <v>0</v>
      </c>
      <c r="F21" s="194">
        <v>20</v>
      </c>
      <c r="G21" s="194">
        <v>2894</v>
      </c>
      <c r="H21" s="257">
        <v>0</v>
      </c>
      <c r="I21" s="194">
        <v>166</v>
      </c>
      <c r="J21" s="257">
        <v>0</v>
      </c>
      <c r="K21" s="194">
        <v>30317</v>
      </c>
      <c r="L21" s="257">
        <v>0</v>
      </c>
      <c r="M21" s="194">
        <v>1499</v>
      </c>
    </row>
    <row r="22" spans="1:13" ht="24.75" customHeight="1">
      <c r="A22" s="244" t="s">
        <v>384</v>
      </c>
      <c r="B22" s="311" t="s">
        <v>147</v>
      </c>
      <c r="C22" s="195">
        <v>178636</v>
      </c>
      <c r="D22" s="196">
        <v>100180</v>
      </c>
      <c r="E22" s="258">
        <v>0</v>
      </c>
      <c r="F22" s="196">
        <v>41</v>
      </c>
      <c r="G22" s="196">
        <v>4343</v>
      </c>
      <c r="H22" s="258">
        <v>0</v>
      </c>
      <c r="I22" s="196">
        <v>174</v>
      </c>
      <c r="J22" s="258">
        <v>0</v>
      </c>
      <c r="K22" s="196">
        <v>72084</v>
      </c>
      <c r="L22" s="258">
        <v>0</v>
      </c>
      <c r="M22" s="196">
        <v>1814</v>
      </c>
    </row>
    <row r="23" spans="1:13" ht="24.75" customHeight="1">
      <c r="A23" s="191" t="s">
        <v>393</v>
      </c>
      <c r="B23" s="310" t="s">
        <v>146</v>
      </c>
      <c r="C23" s="193">
        <v>142381</v>
      </c>
      <c r="D23" s="193">
        <v>100393</v>
      </c>
      <c r="E23" s="257">
        <v>0</v>
      </c>
      <c r="F23" s="194">
        <v>10</v>
      </c>
      <c r="G23" s="194">
        <v>3155</v>
      </c>
      <c r="H23" s="257">
        <v>0</v>
      </c>
      <c r="I23" s="194">
        <v>178</v>
      </c>
      <c r="J23" s="257">
        <v>0</v>
      </c>
      <c r="K23" s="194">
        <v>37359</v>
      </c>
      <c r="L23" s="257">
        <v>0</v>
      </c>
      <c r="M23" s="194">
        <v>1286</v>
      </c>
    </row>
    <row r="24" spans="1:13" ht="24.75" customHeight="1">
      <c r="A24" s="244" t="s">
        <v>394</v>
      </c>
      <c r="B24" s="311" t="s">
        <v>147</v>
      </c>
      <c r="C24" s="195">
        <v>161928</v>
      </c>
      <c r="D24" s="196">
        <v>102246</v>
      </c>
      <c r="E24" s="258">
        <v>0</v>
      </c>
      <c r="F24" s="196">
        <v>40</v>
      </c>
      <c r="G24" s="196">
        <v>3912</v>
      </c>
      <c r="H24" s="258">
        <v>0</v>
      </c>
      <c r="I24" s="196">
        <v>742</v>
      </c>
      <c r="J24" s="258">
        <v>0</v>
      </c>
      <c r="K24" s="196">
        <v>51517</v>
      </c>
      <c r="L24" s="196">
        <v>400</v>
      </c>
      <c r="M24" s="196">
        <v>3071</v>
      </c>
    </row>
    <row r="25" spans="1:13" ht="24.75" customHeight="1">
      <c r="A25" s="191" t="s">
        <v>400</v>
      </c>
      <c r="B25" s="310" t="s">
        <v>408</v>
      </c>
      <c r="C25" s="193">
        <v>141997</v>
      </c>
      <c r="D25" s="193">
        <v>100513</v>
      </c>
      <c r="E25" s="257">
        <v>0</v>
      </c>
      <c r="F25" s="194">
        <v>10</v>
      </c>
      <c r="G25" s="194">
        <v>3293</v>
      </c>
      <c r="H25" s="257">
        <v>0</v>
      </c>
      <c r="I25" s="194">
        <v>478</v>
      </c>
      <c r="J25" s="257">
        <v>0</v>
      </c>
      <c r="K25" s="194">
        <v>36168</v>
      </c>
      <c r="L25" s="257">
        <v>0</v>
      </c>
      <c r="M25" s="194">
        <v>1535</v>
      </c>
    </row>
    <row r="26" spans="1:13" ht="24.75" customHeight="1">
      <c r="A26" s="244" t="s">
        <v>401</v>
      </c>
      <c r="B26" s="311" t="s">
        <v>147</v>
      </c>
      <c r="C26" s="195">
        <v>217795</v>
      </c>
      <c r="D26" s="196">
        <v>107472</v>
      </c>
      <c r="E26" s="258">
        <v>0</v>
      </c>
      <c r="F26" s="196">
        <v>505</v>
      </c>
      <c r="G26" s="196">
        <v>5306</v>
      </c>
      <c r="H26" s="258">
        <v>0</v>
      </c>
      <c r="I26" s="196">
        <v>523</v>
      </c>
      <c r="J26" s="258">
        <v>0</v>
      </c>
      <c r="K26" s="196">
        <v>100143</v>
      </c>
      <c r="L26" s="196">
        <v>1019</v>
      </c>
      <c r="M26" s="196">
        <v>2827</v>
      </c>
    </row>
    <row r="27" spans="1:13" ht="24.75" customHeight="1">
      <c r="A27" s="191" t="s">
        <v>409</v>
      </c>
      <c r="B27" s="310" t="s">
        <v>146</v>
      </c>
      <c r="C27" s="193">
        <v>145240</v>
      </c>
      <c r="D27" s="193">
        <v>114585</v>
      </c>
      <c r="E27" s="257">
        <v>0</v>
      </c>
      <c r="F27" s="194">
        <v>10</v>
      </c>
      <c r="G27" s="194">
        <v>2977</v>
      </c>
      <c r="H27" s="257">
        <v>0</v>
      </c>
      <c r="I27" s="194">
        <v>498</v>
      </c>
      <c r="J27" s="257">
        <v>0</v>
      </c>
      <c r="K27" s="194">
        <v>25491</v>
      </c>
      <c r="L27" s="257">
        <v>0</v>
      </c>
      <c r="M27" s="194">
        <v>1679</v>
      </c>
    </row>
    <row r="28" spans="1:13" ht="24.75" customHeight="1">
      <c r="A28" s="244" t="s">
        <v>410</v>
      </c>
      <c r="B28" s="311" t="s">
        <v>147</v>
      </c>
      <c r="C28" s="195">
        <v>227178</v>
      </c>
      <c r="D28" s="196">
        <v>131072</v>
      </c>
      <c r="E28" s="258">
        <v>0</v>
      </c>
      <c r="F28" s="196">
        <v>60</v>
      </c>
      <c r="G28" s="328">
        <v>2441</v>
      </c>
      <c r="H28" s="258">
        <v>0</v>
      </c>
      <c r="I28" s="196">
        <v>513</v>
      </c>
      <c r="J28" s="258">
        <v>0</v>
      </c>
      <c r="K28" s="196">
        <v>89871</v>
      </c>
      <c r="L28" s="196">
        <v>150</v>
      </c>
      <c r="M28" s="196">
        <v>3071</v>
      </c>
    </row>
    <row r="29" spans="1:13" ht="3.75" customHeight="1" thickBot="1">
      <c r="A29" s="197"/>
      <c r="B29" s="198"/>
      <c r="C29" s="199"/>
      <c r="D29" s="200"/>
      <c r="E29" s="200"/>
      <c r="F29" s="200"/>
      <c r="G29" s="200"/>
      <c r="H29" s="200"/>
      <c r="I29" s="200"/>
      <c r="J29" s="200"/>
      <c r="K29" s="200"/>
      <c r="L29" s="200"/>
      <c r="M29" s="200"/>
    </row>
    <row r="30" spans="1:2" ht="16.5">
      <c r="A30" s="202" t="s">
        <v>30</v>
      </c>
      <c r="B30" s="201"/>
    </row>
    <row r="32" spans="1:2" ht="16.5">
      <c r="A32" s="203"/>
      <c r="B32" s="204"/>
    </row>
  </sheetData>
  <sheetProtection/>
  <mergeCells count="6">
    <mergeCell ref="H2:M2"/>
    <mergeCell ref="H3:M3"/>
    <mergeCell ref="A6:B6"/>
    <mergeCell ref="A5:B5"/>
    <mergeCell ref="A2:G2"/>
    <mergeCell ref="A3:G3"/>
  </mergeCells>
  <printOptions/>
  <pageMargins left="0.75" right="0.75" top="1" bottom="1" header="0.5" footer="0.5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7" sqref="N17"/>
    </sheetView>
  </sheetViews>
  <sheetFormatPr defaultColWidth="9.00390625" defaultRowHeight="16.5"/>
  <cols>
    <col min="1" max="1" width="16.125" style="59" customWidth="1"/>
    <col min="2" max="6" width="12.625" style="3" customWidth="1"/>
    <col min="7" max="13" width="11.625" style="3" customWidth="1"/>
    <col min="14" max="16384" width="9.00390625" style="3" customWidth="1"/>
  </cols>
  <sheetData>
    <row r="1" spans="1:13" s="59" customFormat="1" ht="16.5">
      <c r="A1" s="111">
        <f>'6-2預算歲入'!A1+2</f>
        <v>96</v>
      </c>
      <c r="B1" s="123"/>
      <c r="C1" s="1"/>
      <c r="D1" s="1"/>
      <c r="E1" s="1"/>
      <c r="F1" s="1"/>
      <c r="G1" s="1"/>
      <c r="H1" s="2"/>
      <c r="I1" s="5"/>
      <c r="J1" s="5"/>
      <c r="K1" s="5"/>
      <c r="L1" s="130"/>
      <c r="M1" s="172">
        <f>A1+1</f>
        <v>97</v>
      </c>
    </row>
    <row r="2" spans="1:13" s="59" customFormat="1" ht="21">
      <c r="A2" s="369" t="s">
        <v>356</v>
      </c>
      <c r="B2" s="411"/>
      <c r="C2" s="411"/>
      <c r="D2" s="411"/>
      <c r="E2" s="411"/>
      <c r="F2" s="411"/>
      <c r="G2" s="412" t="s">
        <v>357</v>
      </c>
      <c r="H2" s="412"/>
      <c r="I2" s="412"/>
      <c r="J2" s="412"/>
      <c r="K2" s="412"/>
      <c r="L2" s="412"/>
      <c r="M2" s="412"/>
    </row>
    <row r="3" spans="1:13" s="59" customFormat="1" ht="16.5">
      <c r="A3" s="370" t="s">
        <v>192</v>
      </c>
      <c r="B3" s="370"/>
      <c r="C3" s="370"/>
      <c r="D3" s="370"/>
      <c r="E3" s="370"/>
      <c r="F3" s="370"/>
      <c r="G3" s="413" t="s">
        <v>326</v>
      </c>
      <c r="H3" s="413"/>
      <c r="I3" s="413"/>
      <c r="J3" s="413"/>
      <c r="K3" s="413"/>
      <c r="L3" s="413"/>
      <c r="M3" s="413"/>
    </row>
    <row r="4" spans="1:13" s="59" customFormat="1" ht="15" customHeight="1" thickBot="1">
      <c r="A4" s="149" t="s">
        <v>0</v>
      </c>
      <c r="B4" s="5"/>
      <c r="C4" s="5" t="s">
        <v>148</v>
      </c>
      <c r="D4" s="5"/>
      <c r="E4" s="5"/>
      <c r="F4" s="5"/>
      <c r="G4" s="6"/>
      <c r="H4" s="5"/>
      <c r="I4" s="5"/>
      <c r="J4" s="5"/>
      <c r="K4" s="5"/>
      <c r="L4" s="131"/>
      <c r="M4" s="134" t="s">
        <v>67</v>
      </c>
    </row>
    <row r="5" spans="1:13" s="33" customFormat="1" ht="27" customHeight="1">
      <c r="A5" s="124" t="s">
        <v>134</v>
      </c>
      <c r="B5" s="125" t="s">
        <v>1</v>
      </c>
      <c r="C5" s="126" t="s">
        <v>2</v>
      </c>
      <c r="D5" s="127" t="s">
        <v>149</v>
      </c>
      <c r="E5" s="127" t="s">
        <v>150</v>
      </c>
      <c r="F5" s="125" t="s">
        <v>4</v>
      </c>
      <c r="G5" s="128" t="s">
        <v>151</v>
      </c>
      <c r="H5" s="126" t="s">
        <v>5</v>
      </c>
      <c r="I5" s="127" t="s">
        <v>191</v>
      </c>
      <c r="J5" s="127" t="s">
        <v>152</v>
      </c>
      <c r="K5" s="127" t="s">
        <v>153</v>
      </c>
      <c r="L5" s="126" t="s">
        <v>6</v>
      </c>
      <c r="M5" s="129" t="s">
        <v>154</v>
      </c>
    </row>
    <row r="6" spans="1:13" s="33" customFormat="1" ht="59.25" customHeight="1" thickBot="1">
      <c r="A6" s="91" t="s">
        <v>138</v>
      </c>
      <c r="B6" s="81" t="s">
        <v>81</v>
      </c>
      <c r="C6" s="81" t="s">
        <v>139</v>
      </c>
      <c r="D6" s="81" t="s">
        <v>140</v>
      </c>
      <c r="E6" s="81" t="s">
        <v>141</v>
      </c>
      <c r="F6" s="89" t="s">
        <v>83</v>
      </c>
      <c r="G6" s="90" t="s">
        <v>142</v>
      </c>
      <c r="H6" s="89" t="s">
        <v>143</v>
      </c>
      <c r="I6" s="81" t="s">
        <v>144</v>
      </c>
      <c r="J6" s="81" t="s">
        <v>84</v>
      </c>
      <c r="K6" s="81" t="s">
        <v>145</v>
      </c>
      <c r="L6" s="88" t="s">
        <v>85</v>
      </c>
      <c r="M6" s="132"/>
    </row>
    <row r="7" spans="1:13" s="33" customFormat="1" ht="5.25" customHeight="1">
      <c r="A7" s="291"/>
      <c r="B7" s="293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88"/>
    </row>
    <row r="8" spans="1:13" ht="53.25" customHeight="1">
      <c r="A8" s="148" t="s">
        <v>295</v>
      </c>
      <c r="B8" s="259">
        <v>142018</v>
      </c>
      <c r="C8" s="256">
        <v>69085</v>
      </c>
      <c r="D8" s="261">
        <v>0</v>
      </c>
      <c r="E8" s="256">
        <v>205</v>
      </c>
      <c r="F8" s="256">
        <v>7525</v>
      </c>
      <c r="G8" s="261">
        <v>0</v>
      </c>
      <c r="H8" s="256">
        <v>173</v>
      </c>
      <c r="I8" s="260">
        <v>0</v>
      </c>
      <c r="J8" s="256">
        <v>64237</v>
      </c>
      <c r="K8" s="260">
        <v>0</v>
      </c>
      <c r="L8" s="256">
        <v>793</v>
      </c>
      <c r="M8" s="260">
        <v>0</v>
      </c>
    </row>
    <row r="9" spans="1:13" ht="53.25" customHeight="1">
      <c r="A9" s="148" t="s">
        <v>298</v>
      </c>
      <c r="B9" s="259">
        <v>125597</v>
      </c>
      <c r="C9" s="256">
        <v>75169</v>
      </c>
      <c r="D9" s="261">
        <v>0</v>
      </c>
      <c r="E9" s="256">
        <v>164</v>
      </c>
      <c r="F9" s="256">
        <v>16979</v>
      </c>
      <c r="G9" s="261">
        <v>0</v>
      </c>
      <c r="H9" s="256">
        <v>16</v>
      </c>
      <c r="I9" s="260">
        <v>0</v>
      </c>
      <c r="J9" s="256">
        <v>32391</v>
      </c>
      <c r="K9" s="260">
        <v>0</v>
      </c>
      <c r="L9" s="256">
        <v>878</v>
      </c>
      <c r="M9" s="260">
        <v>0</v>
      </c>
    </row>
    <row r="10" spans="1:13" ht="53.25" customHeight="1">
      <c r="A10" s="148" t="s">
        <v>302</v>
      </c>
      <c r="B10" s="259">
        <v>167187</v>
      </c>
      <c r="C10" s="256">
        <v>91173</v>
      </c>
      <c r="D10" s="261">
        <v>0</v>
      </c>
      <c r="E10" s="256">
        <v>343</v>
      </c>
      <c r="F10" s="256">
        <v>5226</v>
      </c>
      <c r="G10" s="261">
        <v>0</v>
      </c>
      <c r="H10" s="256">
        <v>27</v>
      </c>
      <c r="I10" s="260">
        <v>0</v>
      </c>
      <c r="J10" s="256">
        <v>67341</v>
      </c>
      <c r="K10" s="260">
        <v>0</v>
      </c>
      <c r="L10" s="256">
        <v>3077</v>
      </c>
      <c r="M10" s="260">
        <v>0</v>
      </c>
    </row>
    <row r="11" spans="1:13" ht="53.25" customHeight="1">
      <c r="A11" s="148" t="s">
        <v>319</v>
      </c>
      <c r="B11" s="259">
        <v>191583</v>
      </c>
      <c r="C11" s="256">
        <v>109333</v>
      </c>
      <c r="D11" s="261">
        <v>0</v>
      </c>
      <c r="E11" s="256">
        <v>59</v>
      </c>
      <c r="F11" s="256">
        <v>6877</v>
      </c>
      <c r="G11" s="261">
        <v>0</v>
      </c>
      <c r="H11" s="256">
        <v>30</v>
      </c>
      <c r="I11" s="260">
        <v>0</v>
      </c>
      <c r="J11" s="256">
        <v>73169</v>
      </c>
      <c r="K11" s="260">
        <v>0</v>
      </c>
      <c r="L11" s="256">
        <v>2115</v>
      </c>
      <c r="M11" s="260">
        <v>0</v>
      </c>
    </row>
    <row r="12" spans="1:13" ht="53.25" customHeight="1">
      <c r="A12" s="148" t="s">
        <v>345</v>
      </c>
      <c r="B12" s="259">
        <v>167705</v>
      </c>
      <c r="C12" s="256">
        <v>96461</v>
      </c>
      <c r="D12" s="261">
        <v>0</v>
      </c>
      <c r="E12" s="256">
        <v>51</v>
      </c>
      <c r="F12" s="256">
        <v>4844</v>
      </c>
      <c r="G12" s="261">
        <v>0</v>
      </c>
      <c r="H12" s="256">
        <v>40</v>
      </c>
      <c r="I12" s="260">
        <v>0</v>
      </c>
      <c r="J12" s="256">
        <v>65129</v>
      </c>
      <c r="K12" s="260">
        <v>0</v>
      </c>
      <c r="L12" s="256">
        <v>1180</v>
      </c>
      <c r="M12" s="260">
        <v>0</v>
      </c>
    </row>
    <row r="13" spans="1:13" ht="53.25" customHeight="1">
      <c r="A13" s="148" t="s">
        <v>376</v>
      </c>
      <c r="B13" s="259">
        <v>151703</v>
      </c>
      <c r="C13" s="256">
        <v>96686</v>
      </c>
      <c r="D13" s="261">
        <v>0</v>
      </c>
      <c r="E13" s="256">
        <v>48</v>
      </c>
      <c r="F13" s="256">
        <v>5689</v>
      </c>
      <c r="G13" s="261">
        <v>0</v>
      </c>
      <c r="H13" s="256">
        <v>180</v>
      </c>
      <c r="I13" s="260">
        <v>0</v>
      </c>
      <c r="J13" s="256">
        <v>47148</v>
      </c>
      <c r="K13" s="260">
        <v>0</v>
      </c>
      <c r="L13" s="256">
        <v>1952</v>
      </c>
      <c r="M13" s="260">
        <v>0</v>
      </c>
    </row>
    <row r="14" spans="1:13" ht="53.25" customHeight="1">
      <c r="A14" s="148" t="s">
        <v>385</v>
      </c>
      <c r="B14" s="259">
        <v>189537</v>
      </c>
      <c r="C14" s="256">
        <v>114232</v>
      </c>
      <c r="D14" s="261">
        <v>0</v>
      </c>
      <c r="E14" s="256">
        <v>471</v>
      </c>
      <c r="F14" s="256">
        <v>4885</v>
      </c>
      <c r="G14" s="261">
        <v>0</v>
      </c>
      <c r="H14" s="256">
        <v>198</v>
      </c>
      <c r="I14" s="260">
        <v>0</v>
      </c>
      <c r="J14" s="256">
        <v>67354</v>
      </c>
      <c r="K14" s="260">
        <v>0</v>
      </c>
      <c r="L14" s="256">
        <v>2397</v>
      </c>
      <c r="M14" s="260">
        <v>0</v>
      </c>
    </row>
    <row r="15" spans="1:13" ht="53.25" customHeight="1">
      <c r="A15" s="148" t="s">
        <v>395</v>
      </c>
      <c r="B15" s="259">
        <v>183226</v>
      </c>
      <c r="C15" s="256">
        <v>121633</v>
      </c>
      <c r="D15" s="261">
        <v>0</v>
      </c>
      <c r="E15" s="256">
        <v>69</v>
      </c>
      <c r="F15" s="256">
        <v>4034</v>
      </c>
      <c r="G15" s="261">
        <v>0</v>
      </c>
      <c r="H15" s="256">
        <v>1100</v>
      </c>
      <c r="I15" s="260">
        <v>0</v>
      </c>
      <c r="J15" s="256">
        <v>52386</v>
      </c>
      <c r="K15" s="256">
        <v>400</v>
      </c>
      <c r="L15" s="256">
        <v>3604</v>
      </c>
      <c r="M15" s="260">
        <v>0</v>
      </c>
    </row>
    <row r="16" spans="1:13" ht="53.25" customHeight="1">
      <c r="A16" s="148" t="s">
        <v>402</v>
      </c>
      <c r="B16" s="259">
        <v>232567</v>
      </c>
      <c r="C16" s="256">
        <v>120459</v>
      </c>
      <c r="D16" s="261">
        <v>0</v>
      </c>
      <c r="E16" s="256">
        <v>684</v>
      </c>
      <c r="F16" s="256">
        <v>5727</v>
      </c>
      <c r="G16" s="261">
        <v>0</v>
      </c>
      <c r="H16" s="256">
        <v>555</v>
      </c>
      <c r="I16" s="260">
        <v>0</v>
      </c>
      <c r="J16" s="256">
        <v>100491</v>
      </c>
      <c r="K16" s="256">
        <v>1019</v>
      </c>
      <c r="L16" s="256">
        <v>3632</v>
      </c>
      <c r="M16" s="260">
        <v>0</v>
      </c>
    </row>
    <row r="17" spans="1:13" ht="53.25" customHeight="1">
      <c r="A17" s="148" t="s">
        <v>411</v>
      </c>
      <c r="B17" s="259">
        <v>228725</v>
      </c>
      <c r="C17" s="256">
        <v>136293</v>
      </c>
      <c r="D17" s="261">
        <v>0</v>
      </c>
      <c r="E17" s="256">
        <v>71</v>
      </c>
      <c r="F17" s="256">
        <v>3040</v>
      </c>
      <c r="G17" s="261">
        <v>0</v>
      </c>
      <c r="H17" s="256">
        <v>603</v>
      </c>
      <c r="I17" s="261">
        <v>0</v>
      </c>
      <c r="J17" s="256">
        <v>84706</v>
      </c>
      <c r="K17" s="256">
        <v>150</v>
      </c>
      <c r="L17" s="256">
        <v>3862</v>
      </c>
      <c r="M17" s="260">
        <v>0</v>
      </c>
    </row>
    <row r="18" spans="1:13" ht="6.75" customHeight="1" thickBot="1">
      <c r="A18" s="255"/>
      <c r="B18" s="15" t="s">
        <v>22</v>
      </c>
      <c r="C18" s="18"/>
      <c r="D18" s="18"/>
      <c r="E18" s="18"/>
      <c r="F18" s="18"/>
      <c r="G18" s="18"/>
      <c r="H18" s="19"/>
      <c r="I18" s="19"/>
      <c r="J18" s="18"/>
      <c r="K18" s="19"/>
      <c r="L18" s="18"/>
      <c r="M18" s="18"/>
    </row>
    <row r="19" spans="1:12" ht="16.5">
      <c r="A19" s="147" t="s">
        <v>190</v>
      </c>
      <c r="B19" s="9"/>
      <c r="C19" s="10"/>
      <c r="D19" s="10"/>
      <c r="E19" s="10"/>
      <c r="F19" s="10"/>
      <c r="G19" s="11"/>
      <c r="H19" s="10"/>
      <c r="I19" s="10"/>
      <c r="J19" s="10"/>
      <c r="K19" s="10"/>
      <c r="L19" s="10"/>
    </row>
    <row r="20" spans="1:12" ht="16.5">
      <c r="A20" s="67"/>
      <c r="B20" s="9"/>
      <c r="C20" s="10"/>
      <c r="D20" s="10"/>
      <c r="E20" s="10"/>
      <c r="F20" s="10"/>
      <c r="G20" s="11"/>
      <c r="H20" s="10"/>
      <c r="I20" s="10"/>
      <c r="J20" s="10"/>
      <c r="K20" s="10"/>
      <c r="L20" s="10"/>
    </row>
    <row r="22" spans="1:12" ht="16.5">
      <c r="A22" s="64"/>
      <c r="B22" s="13"/>
      <c r="C22" s="13"/>
      <c r="D22" s="13"/>
      <c r="E22" s="13"/>
      <c r="F22" s="13"/>
      <c r="G22" s="12"/>
      <c r="H22" s="13"/>
      <c r="I22" s="13"/>
      <c r="J22" s="13"/>
      <c r="K22" s="13"/>
      <c r="L22" s="13"/>
    </row>
  </sheetData>
  <sheetProtection/>
  <mergeCells count="4">
    <mergeCell ref="A2:F2"/>
    <mergeCell ref="A3:F3"/>
    <mergeCell ref="G2:M2"/>
    <mergeCell ref="G3:M3"/>
  </mergeCells>
  <printOptions/>
  <pageMargins left="0.7480314960629921" right="0" top="0.984251968503937" bottom="0" header="0" footer="0"/>
  <pageSetup horizontalDpi="600" verticalDpi="600" orientation="portrait" paperSize="9" r:id="rId1"/>
  <colBreaks count="1" manualBreakCount="1">
    <brk id="6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pane xSplit="2" ySplit="6" topLeftCell="C2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5" sqref="C25"/>
    </sheetView>
  </sheetViews>
  <sheetFormatPr defaultColWidth="9.00390625" defaultRowHeight="16.5"/>
  <cols>
    <col min="1" max="1" width="11.00390625" style="206" customWidth="1"/>
    <col min="2" max="2" width="11.50390625" style="206" customWidth="1"/>
    <col min="3" max="3" width="10.875" style="213" customWidth="1"/>
    <col min="4" max="4" width="10.25390625" style="213" customWidth="1"/>
    <col min="5" max="6" width="10.00390625" style="213" bestFit="1" customWidth="1"/>
    <col min="7" max="8" width="10.50390625" style="213" bestFit="1" customWidth="1"/>
    <col min="9" max="9" width="9.00390625" style="213" customWidth="1"/>
    <col min="10" max="10" width="9.25390625" style="213" bestFit="1" customWidth="1"/>
    <col min="11" max="11" width="10.00390625" style="213" bestFit="1" customWidth="1"/>
    <col min="12" max="12" width="9.125" style="213" bestFit="1" customWidth="1"/>
    <col min="13" max="13" width="11.25390625" style="213" bestFit="1" customWidth="1"/>
    <col min="14" max="14" width="11.00390625" style="213" customWidth="1"/>
    <col min="15" max="15" width="9.25390625" style="213" bestFit="1" customWidth="1"/>
    <col min="16" max="16" width="11.25390625" style="213" customWidth="1"/>
    <col min="17" max="16384" width="9.00390625" style="213" customWidth="1"/>
  </cols>
  <sheetData>
    <row r="1" spans="1:39" s="206" customFormat="1" ht="16.5">
      <c r="A1" s="390">
        <f>'6-2決算歲入'!M1+1</f>
        <v>98</v>
      </c>
      <c r="B1" s="390"/>
      <c r="C1" s="201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391">
        <f>A1+1</f>
        <v>99</v>
      </c>
      <c r="P1" s="391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</row>
    <row r="2" spans="1:39" s="206" customFormat="1" ht="21">
      <c r="A2" s="415" t="s">
        <v>358</v>
      </c>
      <c r="B2" s="415"/>
      <c r="C2" s="415"/>
      <c r="D2" s="415"/>
      <c r="E2" s="415"/>
      <c r="F2" s="415"/>
      <c r="G2" s="415"/>
      <c r="H2" s="415"/>
      <c r="I2" s="418" t="s">
        <v>359</v>
      </c>
      <c r="J2" s="418"/>
      <c r="K2" s="418"/>
      <c r="L2" s="418"/>
      <c r="M2" s="418"/>
      <c r="N2" s="418"/>
      <c r="O2" s="418"/>
      <c r="P2" s="418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</row>
    <row r="3" spans="1:16" s="208" customFormat="1" ht="16.5">
      <c r="A3" s="416" t="s">
        <v>189</v>
      </c>
      <c r="B3" s="416"/>
      <c r="C3" s="416"/>
      <c r="D3" s="416"/>
      <c r="E3" s="416"/>
      <c r="F3" s="416"/>
      <c r="G3" s="416"/>
      <c r="H3" s="416"/>
      <c r="I3" s="418" t="s">
        <v>193</v>
      </c>
      <c r="J3" s="418"/>
      <c r="K3" s="418"/>
      <c r="L3" s="418"/>
      <c r="M3" s="418"/>
      <c r="N3" s="418"/>
      <c r="O3" s="418"/>
      <c r="P3" s="418"/>
    </row>
    <row r="4" spans="1:39" s="206" customFormat="1" ht="17.25" thickBot="1">
      <c r="A4" s="209" t="s">
        <v>0</v>
      </c>
      <c r="C4" s="205"/>
      <c r="D4" s="205"/>
      <c r="E4" s="205"/>
      <c r="F4" s="205"/>
      <c r="K4" s="205"/>
      <c r="L4" s="205"/>
      <c r="M4" s="205"/>
      <c r="N4" s="205"/>
      <c r="O4" s="205"/>
      <c r="P4" s="210" t="s">
        <v>67</v>
      </c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</row>
    <row r="5" spans="1:39" s="206" customFormat="1" ht="25.5" customHeight="1">
      <c r="A5" s="408" t="s">
        <v>134</v>
      </c>
      <c r="B5" s="417"/>
      <c r="C5" s="186" t="s">
        <v>195</v>
      </c>
      <c r="D5" s="184" t="s">
        <v>196</v>
      </c>
      <c r="E5" s="184" t="s">
        <v>8</v>
      </c>
      <c r="F5" s="184" t="s">
        <v>9</v>
      </c>
      <c r="G5" s="184" t="s">
        <v>10</v>
      </c>
      <c r="H5" s="183" t="s">
        <v>11</v>
      </c>
      <c r="I5" s="219" t="s">
        <v>12</v>
      </c>
      <c r="J5" s="183" t="s">
        <v>13</v>
      </c>
      <c r="K5" s="184" t="s">
        <v>14</v>
      </c>
      <c r="L5" s="184" t="s">
        <v>15</v>
      </c>
      <c r="M5" s="183" t="s">
        <v>16</v>
      </c>
      <c r="N5" s="184" t="s">
        <v>197</v>
      </c>
      <c r="O5" s="184" t="s">
        <v>198</v>
      </c>
      <c r="P5" s="220" t="s">
        <v>199</v>
      </c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</row>
    <row r="6" spans="1:39" s="206" customFormat="1" ht="43.5" customHeight="1" thickBot="1">
      <c r="A6" s="414" t="s">
        <v>138</v>
      </c>
      <c r="B6" s="406"/>
      <c r="C6" s="190" t="s">
        <v>81</v>
      </c>
      <c r="D6" s="188" t="s">
        <v>200</v>
      </c>
      <c r="E6" s="242" t="s">
        <v>273</v>
      </c>
      <c r="F6" s="188" t="s">
        <v>202</v>
      </c>
      <c r="G6" s="188" t="s">
        <v>203</v>
      </c>
      <c r="H6" s="188" t="s">
        <v>204</v>
      </c>
      <c r="I6" s="187" t="s">
        <v>205</v>
      </c>
      <c r="J6" s="188" t="s">
        <v>206</v>
      </c>
      <c r="K6" s="188" t="s">
        <v>207</v>
      </c>
      <c r="L6" s="188" t="s">
        <v>208</v>
      </c>
      <c r="M6" s="188" t="s">
        <v>209</v>
      </c>
      <c r="N6" s="189" t="s">
        <v>210</v>
      </c>
      <c r="O6" s="188" t="s">
        <v>211</v>
      </c>
      <c r="P6" s="189" t="s">
        <v>212</v>
      </c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</row>
    <row r="7" spans="1:39" s="206" customFormat="1" ht="4.5" customHeight="1">
      <c r="A7" s="285"/>
      <c r="B7" s="286"/>
      <c r="C7" s="285"/>
      <c r="D7" s="285"/>
      <c r="E7" s="287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</row>
    <row r="8" spans="1:16" ht="27.75" customHeight="1">
      <c r="A8" s="191" t="s">
        <v>294</v>
      </c>
      <c r="B8" s="212" t="s">
        <v>146</v>
      </c>
      <c r="C8" s="194">
        <v>113686</v>
      </c>
      <c r="D8" s="194">
        <v>19046</v>
      </c>
      <c r="E8" s="194">
        <v>12675</v>
      </c>
      <c r="F8" s="194">
        <v>29032</v>
      </c>
      <c r="G8" s="194">
        <v>3648</v>
      </c>
      <c r="H8" s="194">
        <v>229</v>
      </c>
      <c r="I8" s="262">
        <v>0</v>
      </c>
      <c r="J8" s="194">
        <v>2056</v>
      </c>
      <c r="K8" s="194">
        <v>6588</v>
      </c>
      <c r="L8" s="194">
        <v>146</v>
      </c>
      <c r="M8" s="264">
        <v>3765</v>
      </c>
      <c r="N8" s="194">
        <v>8293</v>
      </c>
      <c r="O8" s="262">
        <v>0</v>
      </c>
      <c r="P8" s="194">
        <v>37</v>
      </c>
    </row>
    <row r="9" spans="1:16" ht="27.75" customHeight="1">
      <c r="A9" s="244">
        <v>2009</v>
      </c>
      <c r="B9" s="214" t="s">
        <v>147</v>
      </c>
      <c r="C9" s="196">
        <v>156348</v>
      </c>
      <c r="D9" s="196">
        <v>19046</v>
      </c>
      <c r="E9" s="196">
        <v>11943</v>
      </c>
      <c r="F9" s="196">
        <v>29112</v>
      </c>
      <c r="G9" s="196">
        <v>3199</v>
      </c>
      <c r="H9" s="196">
        <v>195</v>
      </c>
      <c r="I9" s="263">
        <v>0</v>
      </c>
      <c r="J9" s="196">
        <v>1906</v>
      </c>
      <c r="K9" s="196">
        <v>7697</v>
      </c>
      <c r="L9" s="196">
        <v>115</v>
      </c>
      <c r="M9" s="196">
        <v>3034</v>
      </c>
      <c r="N9" s="196">
        <v>53130</v>
      </c>
      <c r="O9" s="263">
        <v>0</v>
      </c>
      <c r="P9" s="196">
        <v>17</v>
      </c>
    </row>
    <row r="10" spans="1:16" ht="27.75" customHeight="1">
      <c r="A10" s="191" t="s">
        <v>299</v>
      </c>
      <c r="B10" s="212" t="s">
        <v>146</v>
      </c>
      <c r="C10" s="194">
        <v>90946</v>
      </c>
      <c r="D10" s="194">
        <v>16212</v>
      </c>
      <c r="E10" s="194">
        <v>9851</v>
      </c>
      <c r="F10" s="194">
        <v>23732</v>
      </c>
      <c r="G10" s="194">
        <v>3501</v>
      </c>
      <c r="H10" s="262">
        <v>0</v>
      </c>
      <c r="I10" s="262">
        <v>0</v>
      </c>
      <c r="J10" s="194">
        <v>1708</v>
      </c>
      <c r="K10" s="194">
        <v>4416</v>
      </c>
      <c r="L10" s="194">
        <v>105</v>
      </c>
      <c r="M10" s="264">
        <v>3607</v>
      </c>
      <c r="N10" s="194">
        <v>2222</v>
      </c>
      <c r="O10" s="262">
        <v>0</v>
      </c>
      <c r="P10" s="262">
        <v>0</v>
      </c>
    </row>
    <row r="11" spans="1:16" ht="27.75" customHeight="1">
      <c r="A11" s="244">
        <v>2010</v>
      </c>
      <c r="B11" s="214" t="s">
        <v>147</v>
      </c>
      <c r="C11" s="196">
        <v>104951</v>
      </c>
      <c r="D11" s="196">
        <v>15870</v>
      </c>
      <c r="E11" s="196">
        <v>9861</v>
      </c>
      <c r="F11" s="196">
        <v>23616</v>
      </c>
      <c r="G11" s="196">
        <v>3342</v>
      </c>
      <c r="H11" s="263">
        <v>0</v>
      </c>
      <c r="I11" s="263">
        <v>0</v>
      </c>
      <c r="J11" s="196">
        <v>1781</v>
      </c>
      <c r="K11" s="196">
        <v>4621</v>
      </c>
      <c r="L11" s="196">
        <v>50</v>
      </c>
      <c r="M11" s="196">
        <v>2981</v>
      </c>
      <c r="N11" s="196">
        <v>14065</v>
      </c>
      <c r="O11" s="263">
        <v>0</v>
      </c>
      <c r="P11" s="263">
        <v>0</v>
      </c>
    </row>
    <row r="12" spans="1:16" ht="27.75" customHeight="1">
      <c r="A12" s="191" t="s">
        <v>300</v>
      </c>
      <c r="B12" s="212" t="s">
        <v>146</v>
      </c>
      <c r="C12" s="194">
        <v>102210</v>
      </c>
      <c r="D12" s="194">
        <v>13925</v>
      </c>
      <c r="E12" s="194">
        <v>11953</v>
      </c>
      <c r="F12" s="194">
        <v>24444</v>
      </c>
      <c r="G12" s="194">
        <v>3612</v>
      </c>
      <c r="H12" s="262">
        <v>0</v>
      </c>
      <c r="I12" s="262">
        <v>0</v>
      </c>
      <c r="J12" s="194">
        <v>2033</v>
      </c>
      <c r="K12" s="194">
        <v>4695</v>
      </c>
      <c r="L12" s="194">
        <v>103</v>
      </c>
      <c r="M12" s="264">
        <v>3807</v>
      </c>
      <c r="N12" s="194">
        <v>7048</v>
      </c>
      <c r="O12" s="262">
        <v>0</v>
      </c>
      <c r="P12" s="262">
        <v>0</v>
      </c>
    </row>
    <row r="13" spans="1:16" ht="27.75" customHeight="1">
      <c r="A13" s="244" t="s">
        <v>301</v>
      </c>
      <c r="B13" s="214" t="s">
        <v>147</v>
      </c>
      <c r="C13" s="196">
        <v>152936</v>
      </c>
      <c r="D13" s="196">
        <v>13903</v>
      </c>
      <c r="E13" s="196">
        <v>16221</v>
      </c>
      <c r="F13" s="196">
        <v>25296</v>
      </c>
      <c r="G13" s="196">
        <v>3498</v>
      </c>
      <c r="H13" s="263">
        <v>0</v>
      </c>
      <c r="I13" s="263">
        <v>0</v>
      </c>
      <c r="J13" s="196">
        <v>4626</v>
      </c>
      <c r="K13" s="196">
        <v>7960</v>
      </c>
      <c r="L13" s="196">
        <v>39</v>
      </c>
      <c r="M13" s="196">
        <v>3247</v>
      </c>
      <c r="N13" s="196">
        <v>50214</v>
      </c>
      <c r="O13" s="263">
        <v>0</v>
      </c>
      <c r="P13" s="263">
        <v>0</v>
      </c>
    </row>
    <row r="14" spans="1:16" ht="27.75" customHeight="1">
      <c r="A14" s="191" t="s">
        <v>316</v>
      </c>
      <c r="B14" s="212" t="s">
        <v>146</v>
      </c>
      <c r="C14" s="194">
        <v>104700</v>
      </c>
      <c r="D14" s="194">
        <v>14234</v>
      </c>
      <c r="E14" s="194">
        <v>12597</v>
      </c>
      <c r="F14" s="194">
        <v>24451</v>
      </c>
      <c r="G14" s="194">
        <v>3795</v>
      </c>
      <c r="H14" s="262">
        <v>0</v>
      </c>
      <c r="I14" s="262">
        <v>0</v>
      </c>
      <c r="J14" s="194">
        <v>2201</v>
      </c>
      <c r="K14" s="194">
        <v>5053</v>
      </c>
      <c r="L14" s="194">
        <v>43</v>
      </c>
      <c r="M14" s="264">
        <v>4346</v>
      </c>
      <c r="N14" s="194">
        <v>6516</v>
      </c>
      <c r="O14" s="262">
        <v>0</v>
      </c>
      <c r="P14" s="262">
        <v>0</v>
      </c>
    </row>
    <row r="15" spans="1:16" ht="27.75" customHeight="1">
      <c r="A15" s="244" t="s">
        <v>317</v>
      </c>
      <c r="B15" s="214" t="s">
        <v>147</v>
      </c>
      <c r="C15" s="196">
        <v>156342</v>
      </c>
      <c r="D15" s="196">
        <v>14275</v>
      </c>
      <c r="E15" s="196">
        <v>12127</v>
      </c>
      <c r="F15" s="196">
        <v>24988</v>
      </c>
      <c r="G15" s="196">
        <v>3357</v>
      </c>
      <c r="H15" s="263">
        <v>0</v>
      </c>
      <c r="I15" s="263">
        <v>0</v>
      </c>
      <c r="J15" s="196">
        <v>2302</v>
      </c>
      <c r="K15" s="196">
        <v>7245</v>
      </c>
      <c r="L15" s="196">
        <v>32</v>
      </c>
      <c r="M15" s="196">
        <v>11521</v>
      </c>
      <c r="N15" s="196">
        <v>52069</v>
      </c>
      <c r="O15" s="263">
        <v>0</v>
      </c>
      <c r="P15" s="263">
        <v>0</v>
      </c>
    </row>
    <row r="16" spans="1:16" ht="27.75" customHeight="1">
      <c r="A16" s="191" t="s">
        <v>343</v>
      </c>
      <c r="B16" s="212" t="s">
        <v>146</v>
      </c>
      <c r="C16" s="194">
        <v>129816</v>
      </c>
      <c r="D16" s="194">
        <f>14549+50</f>
        <v>14599</v>
      </c>
      <c r="E16" s="194">
        <f>12826+1050</f>
        <v>13876</v>
      </c>
      <c r="F16" s="194">
        <f>27166+46</f>
        <v>27212</v>
      </c>
      <c r="G16" s="194">
        <f>3826</f>
        <v>3826</v>
      </c>
      <c r="H16" s="262">
        <v>0</v>
      </c>
      <c r="I16" s="262">
        <v>0</v>
      </c>
      <c r="J16" s="194">
        <f>740</f>
        <v>740</v>
      </c>
      <c r="K16" s="194">
        <f>4438</f>
        <v>4438</v>
      </c>
      <c r="L16" s="194">
        <f>43</f>
        <v>43</v>
      </c>
      <c r="M16" s="264">
        <f>5139</f>
        <v>5139</v>
      </c>
      <c r="N16" s="194">
        <f>2673+24900</f>
        <v>27573</v>
      </c>
      <c r="O16" s="262">
        <v>0</v>
      </c>
      <c r="P16" s="262">
        <v>0</v>
      </c>
    </row>
    <row r="17" spans="1:16" ht="27.75" customHeight="1">
      <c r="A17" s="244" t="s">
        <v>344</v>
      </c>
      <c r="B17" s="214" t="s">
        <v>147</v>
      </c>
      <c r="C17" s="194">
        <v>165764</v>
      </c>
      <c r="D17" s="196">
        <f>14549+50</f>
        <v>14599</v>
      </c>
      <c r="E17" s="196">
        <f>12992+3650</f>
        <v>16642</v>
      </c>
      <c r="F17" s="196">
        <f>28907+2909</f>
        <v>31816</v>
      </c>
      <c r="G17" s="196">
        <f>3720</f>
        <v>3720</v>
      </c>
      <c r="H17" s="263">
        <v>0</v>
      </c>
      <c r="I17" s="263">
        <v>0</v>
      </c>
      <c r="J17" s="196">
        <f>718+765</f>
        <v>1483</v>
      </c>
      <c r="K17" s="196">
        <f>5301+246</f>
        <v>5547</v>
      </c>
      <c r="L17" s="196">
        <f>23</f>
        <v>23</v>
      </c>
      <c r="M17" s="196">
        <f>3313</f>
        <v>3313</v>
      </c>
      <c r="N17" s="196">
        <f>2743+52074</f>
        <v>54817</v>
      </c>
      <c r="O17" s="263">
        <v>0</v>
      </c>
      <c r="P17" s="263">
        <v>0</v>
      </c>
    </row>
    <row r="18" spans="1:16" ht="27.75" customHeight="1">
      <c r="A18" s="191" t="s">
        <v>374</v>
      </c>
      <c r="B18" s="212" t="s">
        <v>146</v>
      </c>
      <c r="C18" s="196">
        <v>169151</v>
      </c>
      <c r="D18" s="194">
        <f>14619+113</f>
        <v>14732</v>
      </c>
      <c r="E18" s="194">
        <f>18313+1750</f>
        <v>20063</v>
      </c>
      <c r="F18" s="194">
        <f>30119+30</f>
        <v>30149</v>
      </c>
      <c r="G18" s="194">
        <v>3827</v>
      </c>
      <c r="H18" s="262">
        <v>0</v>
      </c>
      <c r="I18" s="262">
        <v>0</v>
      </c>
      <c r="J18" s="194">
        <v>1371</v>
      </c>
      <c r="K18" s="194">
        <f>5054</f>
        <v>5054</v>
      </c>
      <c r="L18" s="194">
        <v>24</v>
      </c>
      <c r="M18" s="264">
        <f>5083</f>
        <v>5083</v>
      </c>
      <c r="N18" s="194">
        <f>3054+49000</f>
        <v>52054</v>
      </c>
      <c r="O18" s="262">
        <v>0</v>
      </c>
      <c r="P18" s="262">
        <v>0</v>
      </c>
    </row>
    <row r="19" spans="1:16" ht="27.75" customHeight="1">
      <c r="A19" s="244" t="s">
        <v>375</v>
      </c>
      <c r="B19" s="214" t="s">
        <v>147</v>
      </c>
      <c r="C19" s="196">
        <v>191113</v>
      </c>
      <c r="D19" s="196">
        <f>113+14666</f>
        <v>14779</v>
      </c>
      <c r="E19" s="196">
        <f>1750+17442</f>
        <v>19192</v>
      </c>
      <c r="F19" s="196">
        <f>5980+31794</f>
        <v>37774</v>
      </c>
      <c r="G19" s="196">
        <v>3987</v>
      </c>
      <c r="H19" s="263">
        <v>0</v>
      </c>
      <c r="I19" s="263">
        <v>0</v>
      </c>
      <c r="J19" s="196">
        <f>10+1543</f>
        <v>1553</v>
      </c>
      <c r="K19" s="196">
        <f>482+5161</f>
        <v>5643</v>
      </c>
      <c r="L19" s="196">
        <v>63</v>
      </c>
      <c r="M19" s="196">
        <v>3965</v>
      </c>
      <c r="N19" s="196">
        <f>69400+3853</f>
        <v>73253</v>
      </c>
      <c r="O19" s="263">
        <v>0</v>
      </c>
      <c r="P19" s="263">
        <v>0</v>
      </c>
    </row>
    <row r="20" spans="1:16" ht="27.75" customHeight="1">
      <c r="A20" s="191" t="s">
        <v>383</v>
      </c>
      <c r="B20" s="212" t="s">
        <v>146</v>
      </c>
      <c r="C20" s="194">
        <v>151367</v>
      </c>
      <c r="D20" s="194">
        <f>14690+100</f>
        <v>14790</v>
      </c>
      <c r="E20" s="194">
        <f>15415+540</f>
        <v>15955</v>
      </c>
      <c r="F20" s="194">
        <f>28805+30</f>
        <v>28835</v>
      </c>
      <c r="G20" s="194">
        <v>3911</v>
      </c>
      <c r="H20" s="194">
        <v>6364</v>
      </c>
      <c r="I20" s="262">
        <v>0</v>
      </c>
      <c r="J20" s="194">
        <f>1604</f>
        <v>1604</v>
      </c>
      <c r="K20" s="194">
        <f>4819+63</f>
        <v>4882</v>
      </c>
      <c r="L20" s="194">
        <v>1374</v>
      </c>
      <c r="M20" s="262">
        <v>0</v>
      </c>
      <c r="N20" s="194">
        <f>9819+32600</f>
        <v>42419</v>
      </c>
      <c r="O20" s="194">
        <v>396</v>
      </c>
      <c r="P20" s="262">
        <v>0</v>
      </c>
    </row>
    <row r="21" spans="1:16" ht="27.75" customHeight="1">
      <c r="A21" s="244" t="s">
        <v>384</v>
      </c>
      <c r="B21" s="214" t="s">
        <v>147</v>
      </c>
      <c r="C21" s="196">
        <v>190385</v>
      </c>
      <c r="D21" s="196">
        <f>14715+100</f>
        <v>14815</v>
      </c>
      <c r="E21" s="196">
        <f>15291+540</f>
        <v>15831</v>
      </c>
      <c r="F21" s="196">
        <f>29569+1096</f>
        <v>30665</v>
      </c>
      <c r="G21" s="196">
        <v>3710</v>
      </c>
      <c r="H21" s="196">
        <v>4700</v>
      </c>
      <c r="I21" s="263">
        <v>0</v>
      </c>
      <c r="J21" s="196">
        <f>1758+13</f>
        <v>1771</v>
      </c>
      <c r="K21" s="196">
        <f>4531+516</f>
        <v>5047</v>
      </c>
      <c r="L21" s="196">
        <v>1374</v>
      </c>
      <c r="M21" s="263">
        <v>0</v>
      </c>
      <c r="N21" s="196">
        <f>8987+72319</f>
        <v>81306</v>
      </c>
      <c r="O21" s="196">
        <v>396</v>
      </c>
      <c r="P21" s="263">
        <v>0</v>
      </c>
    </row>
    <row r="22" spans="1:16" ht="27.75" customHeight="1">
      <c r="A22" s="191" t="s">
        <v>393</v>
      </c>
      <c r="B22" s="212" t="s">
        <v>146</v>
      </c>
      <c r="C22" s="194">
        <v>155402</v>
      </c>
      <c r="D22" s="194">
        <f>14752+735</f>
        <v>15487</v>
      </c>
      <c r="E22" s="194">
        <f>14051+740</f>
        <v>14791</v>
      </c>
      <c r="F22" s="194">
        <f>30153</f>
        <v>30153</v>
      </c>
      <c r="G22" s="194">
        <f>4091</f>
        <v>4091</v>
      </c>
      <c r="H22" s="194">
        <f>6239</f>
        <v>6239</v>
      </c>
      <c r="I22" s="262">
        <v>0</v>
      </c>
      <c r="J22" s="194">
        <f>1604</f>
        <v>1604</v>
      </c>
      <c r="K22" s="194">
        <f>5073</f>
        <v>5073</v>
      </c>
      <c r="L22" s="194">
        <f>1021</f>
        <v>1021</v>
      </c>
      <c r="M22" s="262">
        <v>0</v>
      </c>
      <c r="N22" s="194">
        <f>10385+37200</f>
        <v>47585</v>
      </c>
      <c r="O22" s="194">
        <v>396</v>
      </c>
      <c r="P22" s="262">
        <v>0</v>
      </c>
    </row>
    <row r="23" spans="1:16" ht="27.75" customHeight="1">
      <c r="A23" s="244" t="s">
        <v>394</v>
      </c>
      <c r="B23" s="214" t="s">
        <v>147</v>
      </c>
      <c r="C23" s="196">
        <v>169203</v>
      </c>
      <c r="D23" s="196">
        <f>14752+735</f>
        <v>15487</v>
      </c>
      <c r="E23" s="196">
        <f>14383+3100</f>
        <v>17483</v>
      </c>
      <c r="F23" s="196">
        <f>29858+248</f>
        <v>30106</v>
      </c>
      <c r="G23" s="196">
        <v>3922</v>
      </c>
      <c r="H23" s="196">
        <v>4575</v>
      </c>
      <c r="I23" s="263">
        <v>0</v>
      </c>
      <c r="J23" s="196">
        <f>1828+13</f>
        <v>1841</v>
      </c>
      <c r="K23" s="196">
        <f>5132+414</f>
        <v>5546</v>
      </c>
      <c r="L23" s="196">
        <v>21</v>
      </c>
      <c r="M23" s="263">
        <v>0</v>
      </c>
      <c r="N23" s="196">
        <f>9871+50513</f>
        <v>60384</v>
      </c>
      <c r="O23" s="196">
        <v>396</v>
      </c>
      <c r="P23" s="263">
        <v>0</v>
      </c>
    </row>
    <row r="24" spans="1:16" ht="27.75" customHeight="1">
      <c r="A24" s="191" t="s">
        <v>400</v>
      </c>
      <c r="B24" s="212" t="s">
        <v>146</v>
      </c>
      <c r="C24" s="194">
        <v>156644</v>
      </c>
      <c r="D24" s="194">
        <f>14612+157</f>
        <v>14769</v>
      </c>
      <c r="E24" s="194">
        <f>14557+930</f>
        <v>15487</v>
      </c>
      <c r="F24" s="194">
        <f>29935+300</f>
        <v>30235</v>
      </c>
      <c r="G24" s="194">
        <v>4094</v>
      </c>
      <c r="H24" s="194">
        <f>6249+820</f>
        <v>7069</v>
      </c>
      <c r="I24" s="262">
        <v>0</v>
      </c>
      <c r="J24" s="194">
        <v>1507</v>
      </c>
      <c r="K24" s="194">
        <f>5188+490</f>
        <v>5678</v>
      </c>
      <c r="L24" s="194">
        <v>521</v>
      </c>
      <c r="M24" s="262">
        <v>0</v>
      </c>
      <c r="N24" s="194">
        <f>10442+36020</f>
        <v>46462</v>
      </c>
      <c r="O24" s="194">
        <v>396</v>
      </c>
      <c r="P24" s="262">
        <v>0</v>
      </c>
    </row>
    <row r="25" spans="1:16" ht="27.75" customHeight="1">
      <c r="A25" s="244" t="s">
        <v>401</v>
      </c>
      <c r="B25" s="214" t="s">
        <v>147</v>
      </c>
      <c r="C25" s="196">
        <v>227910</v>
      </c>
      <c r="D25" s="196">
        <f>14612+157</f>
        <v>14769</v>
      </c>
      <c r="E25" s="196">
        <f>16613+3661</f>
        <v>20274</v>
      </c>
      <c r="F25" s="196">
        <f>28934+511</f>
        <v>29445</v>
      </c>
      <c r="G25" s="196">
        <v>4035</v>
      </c>
      <c r="H25" s="196">
        <f>4749+820</f>
        <v>5569</v>
      </c>
      <c r="I25" s="263">
        <v>0</v>
      </c>
      <c r="J25" s="196">
        <f>1822+30</f>
        <v>1852</v>
      </c>
      <c r="K25" s="196">
        <f>5709+970</f>
        <v>6679</v>
      </c>
      <c r="L25" s="196">
        <v>21</v>
      </c>
      <c r="M25" s="263">
        <v>0</v>
      </c>
      <c r="N25" s="196">
        <f>12003+101555</f>
        <v>113558</v>
      </c>
      <c r="O25" s="196">
        <v>396</v>
      </c>
      <c r="P25" s="263">
        <v>0</v>
      </c>
    </row>
    <row r="26" spans="1:16" ht="27.75" customHeight="1">
      <c r="A26" s="191" t="s">
        <v>409</v>
      </c>
      <c r="B26" s="212" t="s">
        <v>146</v>
      </c>
      <c r="C26" s="194">
        <v>145240</v>
      </c>
      <c r="D26" s="194">
        <v>15180</v>
      </c>
      <c r="E26" s="194">
        <v>15752</v>
      </c>
      <c r="F26" s="194">
        <v>32234</v>
      </c>
      <c r="G26" s="194">
        <v>4211</v>
      </c>
      <c r="H26" s="194">
        <v>6238</v>
      </c>
      <c r="I26" s="262">
        <v>0</v>
      </c>
      <c r="J26" s="194">
        <v>1527</v>
      </c>
      <c r="K26" s="194">
        <v>6111</v>
      </c>
      <c r="L26" s="194">
        <v>525</v>
      </c>
      <c r="M26" s="262">
        <v>0</v>
      </c>
      <c r="N26" s="194">
        <v>33058</v>
      </c>
      <c r="O26" s="194">
        <v>396</v>
      </c>
      <c r="P26" s="262">
        <v>0</v>
      </c>
    </row>
    <row r="27" spans="1:16" ht="27.75" customHeight="1">
      <c r="A27" s="244" t="s">
        <v>410</v>
      </c>
      <c r="B27" s="214" t="s">
        <v>147</v>
      </c>
      <c r="C27" s="196">
        <v>253777</v>
      </c>
      <c r="D27" s="196">
        <v>15180</v>
      </c>
      <c r="E27" s="196">
        <v>16557</v>
      </c>
      <c r="F27" s="196">
        <v>41361</v>
      </c>
      <c r="G27" s="196">
        <v>4211</v>
      </c>
      <c r="H27" s="196">
        <v>6238</v>
      </c>
      <c r="I27" s="263">
        <v>0</v>
      </c>
      <c r="J27" s="196">
        <v>1820</v>
      </c>
      <c r="K27" s="196">
        <v>7669</v>
      </c>
      <c r="L27" s="196">
        <v>525</v>
      </c>
      <c r="M27" s="263">
        <v>0</v>
      </c>
      <c r="N27" s="196">
        <v>130721</v>
      </c>
      <c r="O27" s="196">
        <v>396</v>
      </c>
      <c r="P27" s="263">
        <v>0</v>
      </c>
    </row>
    <row r="28" spans="1:16" ht="3.75" customHeight="1" thickBot="1">
      <c r="A28" s="217"/>
      <c r="B28" s="218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</row>
    <row r="29" spans="1:2" ht="19.5" customHeight="1">
      <c r="A29" s="215" t="s">
        <v>194</v>
      </c>
      <c r="B29" s="216"/>
    </row>
  </sheetData>
  <sheetProtection/>
  <mergeCells count="8">
    <mergeCell ref="A6:B6"/>
    <mergeCell ref="A2:H2"/>
    <mergeCell ref="A3:H3"/>
    <mergeCell ref="A5:B5"/>
    <mergeCell ref="A1:B1"/>
    <mergeCell ref="O1:P1"/>
    <mergeCell ref="I2:P2"/>
    <mergeCell ref="I3:P3"/>
  </mergeCells>
  <printOptions/>
  <pageMargins left="0.7874015748031497" right="0.7874015748031497" top="0.984251968503937" bottom="0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29"/>
  <sheetViews>
    <sheetView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25" sqref="L25"/>
    </sheetView>
  </sheetViews>
  <sheetFormatPr defaultColWidth="9.00390625" defaultRowHeight="16.5"/>
  <cols>
    <col min="1" max="1" width="10.75390625" style="59" customWidth="1"/>
    <col min="2" max="2" width="11.75390625" style="59" customWidth="1"/>
    <col min="3" max="7" width="11.25390625" style="3" customWidth="1"/>
    <col min="8" max="8" width="11.125" style="3" customWidth="1"/>
    <col min="9" max="9" width="8.75390625" style="3" bestFit="1" customWidth="1"/>
    <col min="10" max="10" width="10.50390625" style="3" bestFit="1" customWidth="1"/>
    <col min="11" max="12" width="9.375" style="3" bestFit="1" customWidth="1"/>
    <col min="13" max="13" width="9.125" style="3" bestFit="1" customWidth="1"/>
    <col min="14" max="15" width="11.125" style="3" customWidth="1"/>
    <col min="16" max="16384" width="9.00390625" style="3" customWidth="1"/>
  </cols>
  <sheetData>
    <row r="1" spans="1:25" s="59" customFormat="1" ht="16.5">
      <c r="A1" s="390">
        <f>'6-3預算歲出'!A1:B1+2</f>
        <v>100</v>
      </c>
      <c r="B1" s="390"/>
      <c r="C1" s="60"/>
      <c r="D1" s="58"/>
      <c r="E1" s="58"/>
      <c r="F1" s="58"/>
      <c r="G1" s="58"/>
      <c r="H1" s="58"/>
      <c r="I1" s="58"/>
      <c r="J1" s="58"/>
      <c r="K1" s="58"/>
      <c r="L1" s="58"/>
      <c r="M1" s="58"/>
      <c r="N1" s="355">
        <f>A1+1</f>
        <v>101</v>
      </c>
      <c r="O1" s="355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s="59" customFormat="1" ht="21">
      <c r="A2" s="423" t="s">
        <v>361</v>
      </c>
      <c r="B2" s="423"/>
      <c r="C2" s="423"/>
      <c r="D2" s="423"/>
      <c r="E2" s="423"/>
      <c r="F2" s="423"/>
      <c r="G2" s="423"/>
      <c r="H2" s="419" t="s">
        <v>360</v>
      </c>
      <c r="I2" s="419"/>
      <c r="J2" s="419"/>
      <c r="K2" s="419"/>
      <c r="L2" s="419"/>
      <c r="M2" s="419"/>
      <c r="N2" s="419"/>
      <c r="O2" s="41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s="152" customFormat="1" ht="16.5">
      <c r="A3" s="420" t="s">
        <v>189</v>
      </c>
      <c r="B3" s="420"/>
      <c r="C3" s="420"/>
      <c r="D3" s="420"/>
      <c r="E3" s="420"/>
      <c r="F3" s="420"/>
      <c r="G3" s="420"/>
      <c r="H3" s="420" t="s">
        <v>245</v>
      </c>
      <c r="I3" s="420"/>
      <c r="J3" s="420"/>
      <c r="K3" s="420"/>
      <c r="L3" s="420"/>
      <c r="M3" s="420"/>
      <c r="N3" s="420"/>
      <c r="O3" s="420"/>
      <c r="P3" s="153"/>
      <c r="Q3" s="153"/>
      <c r="R3" s="153"/>
      <c r="S3" s="153"/>
      <c r="T3" s="153"/>
      <c r="U3" s="153"/>
      <c r="V3" s="153"/>
      <c r="W3" s="153"/>
      <c r="X3" s="153"/>
      <c r="Y3" s="153"/>
    </row>
    <row r="4" spans="1:38" s="59" customFormat="1" ht="17.25" thickBot="1">
      <c r="A4" s="122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34" t="s">
        <v>67</v>
      </c>
      <c r="P4" s="7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15" s="33" customFormat="1" ht="30" customHeight="1">
      <c r="A5" s="155" t="s">
        <v>134</v>
      </c>
      <c r="B5" s="156"/>
      <c r="C5" s="157" t="s">
        <v>213</v>
      </c>
      <c r="D5" s="127" t="s">
        <v>214</v>
      </c>
      <c r="E5" s="127" t="s">
        <v>215</v>
      </c>
      <c r="F5" s="127" t="s">
        <v>216</v>
      </c>
      <c r="G5" s="127" t="s">
        <v>217</v>
      </c>
      <c r="H5" s="128" t="s">
        <v>218</v>
      </c>
      <c r="I5" s="128" t="s">
        <v>17</v>
      </c>
      <c r="J5" s="127" t="s">
        <v>219</v>
      </c>
      <c r="K5" s="127" t="s">
        <v>220</v>
      </c>
      <c r="L5" s="127" t="s">
        <v>221</v>
      </c>
      <c r="M5" s="127" t="s">
        <v>18</v>
      </c>
      <c r="N5" s="129" t="s">
        <v>20</v>
      </c>
      <c r="O5" s="129" t="s">
        <v>19</v>
      </c>
    </row>
    <row r="6" spans="1:15" s="33" customFormat="1" ht="52.5" customHeight="1" thickBot="1">
      <c r="A6" s="421" t="s">
        <v>138</v>
      </c>
      <c r="B6" s="422"/>
      <c r="C6" s="82" t="s">
        <v>222</v>
      </c>
      <c r="D6" s="82" t="s">
        <v>224</v>
      </c>
      <c r="E6" s="82" t="s">
        <v>223</v>
      </c>
      <c r="F6" s="82" t="s">
        <v>226</v>
      </c>
      <c r="G6" s="82" t="s">
        <v>225</v>
      </c>
      <c r="H6" s="85" t="s">
        <v>58</v>
      </c>
      <c r="I6" s="87" t="s">
        <v>227</v>
      </c>
      <c r="J6" s="94" t="s">
        <v>230</v>
      </c>
      <c r="K6" s="82" t="s">
        <v>231</v>
      </c>
      <c r="L6" s="94" t="s">
        <v>232</v>
      </c>
      <c r="M6" s="82" t="s">
        <v>233</v>
      </c>
      <c r="N6" s="92" t="s">
        <v>229</v>
      </c>
      <c r="O6" s="132" t="s">
        <v>228</v>
      </c>
    </row>
    <row r="7" spans="1:15" s="33" customFormat="1" ht="3" customHeight="1">
      <c r="A7" s="288"/>
      <c r="B7" s="289"/>
      <c r="C7" s="290"/>
      <c r="D7" s="290"/>
      <c r="E7" s="290"/>
      <c r="F7" s="290"/>
      <c r="G7" s="290"/>
      <c r="H7" s="290"/>
      <c r="I7" s="288"/>
      <c r="J7" s="288"/>
      <c r="K7" s="290"/>
      <c r="L7" s="288"/>
      <c r="M7" s="290"/>
      <c r="N7" s="288"/>
      <c r="O7" s="288"/>
    </row>
    <row r="8" spans="1:15" ht="27.75" customHeight="1">
      <c r="A8" s="150" t="s">
        <v>294</v>
      </c>
      <c r="B8" s="212" t="s">
        <v>146</v>
      </c>
      <c r="C8" s="194">
        <v>9645</v>
      </c>
      <c r="D8" s="262">
        <v>0</v>
      </c>
      <c r="E8" s="262">
        <v>0</v>
      </c>
      <c r="F8" s="194">
        <v>162</v>
      </c>
      <c r="G8" s="194">
        <v>8658</v>
      </c>
      <c r="H8" s="194">
        <v>6704</v>
      </c>
      <c r="I8" s="262">
        <v>0</v>
      </c>
      <c r="J8" s="262">
        <v>0</v>
      </c>
      <c r="K8" s="262">
        <v>0</v>
      </c>
      <c r="L8" s="262">
        <v>0</v>
      </c>
      <c r="M8" s="262">
        <v>0</v>
      </c>
      <c r="N8" s="264">
        <v>2002</v>
      </c>
      <c r="O8" s="264">
        <v>1000</v>
      </c>
    </row>
    <row r="9" spans="1:15" ht="27.75" customHeight="1">
      <c r="A9" s="151">
        <v>2009</v>
      </c>
      <c r="B9" s="214" t="s">
        <v>147</v>
      </c>
      <c r="C9" s="196">
        <v>9261</v>
      </c>
      <c r="D9" s="263">
        <v>0</v>
      </c>
      <c r="E9" s="263">
        <v>0</v>
      </c>
      <c r="F9" s="196">
        <v>142</v>
      </c>
      <c r="G9" s="196">
        <v>8984</v>
      </c>
      <c r="H9" s="196">
        <v>6549</v>
      </c>
      <c r="I9" s="263">
        <v>0</v>
      </c>
      <c r="J9" s="263">
        <v>0</v>
      </c>
      <c r="K9" s="263">
        <v>0</v>
      </c>
      <c r="L9" s="263">
        <v>0</v>
      </c>
      <c r="M9" s="263">
        <v>0</v>
      </c>
      <c r="N9" s="196">
        <v>2018</v>
      </c>
      <c r="O9" s="268">
        <v>0</v>
      </c>
    </row>
    <row r="10" spans="1:15" ht="27.75" customHeight="1">
      <c r="A10" s="150" t="s">
        <v>299</v>
      </c>
      <c r="B10" s="212" t="s">
        <v>146</v>
      </c>
      <c r="C10" s="194">
        <v>9416</v>
      </c>
      <c r="D10" s="262">
        <v>0</v>
      </c>
      <c r="E10" s="262">
        <v>0</v>
      </c>
      <c r="F10" s="194">
        <v>123</v>
      </c>
      <c r="G10" s="194">
        <v>8219</v>
      </c>
      <c r="H10" s="194">
        <v>6012</v>
      </c>
      <c r="I10" s="262">
        <v>0</v>
      </c>
      <c r="J10" s="262">
        <v>0</v>
      </c>
      <c r="K10" s="262">
        <v>0</v>
      </c>
      <c r="L10" s="262">
        <v>0</v>
      </c>
      <c r="M10" s="262">
        <v>0</v>
      </c>
      <c r="N10" s="264">
        <v>822</v>
      </c>
      <c r="O10" s="264">
        <v>1000</v>
      </c>
    </row>
    <row r="11" spans="1:15" ht="27.75" customHeight="1">
      <c r="A11" s="151">
        <v>2010</v>
      </c>
      <c r="B11" s="214" t="s">
        <v>147</v>
      </c>
      <c r="C11" s="196">
        <v>8821</v>
      </c>
      <c r="D11" s="263">
        <v>0</v>
      </c>
      <c r="E11" s="263">
        <v>0</v>
      </c>
      <c r="F11" s="196">
        <v>123</v>
      </c>
      <c r="G11" s="196">
        <v>9504</v>
      </c>
      <c r="H11" s="196">
        <v>8348</v>
      </c>
      <c r="I11" s="263">
        <v>0</v>
      </c>
      <c r="J11" s="263">
        <v>0</v>
      </c>
      <c r="K11" s="263">
        <v>0</v>
      </c>
      <c r="L11" s="263">
        <v>0</v>
      </c>
      <c r="M11" s="263">
        <v>0</v>
      </c>
      <c r="N11" s="196">
        <v>1968</v>
      </c>
      <c r="O11" s="268">
        <v>0</v>
      </c>
    </row>
    <row r="12" spans="1:15" ht="27.75" customHeight="1">
      <c r="A12" s="150" t="s">
        <v>300</v>
      </c>
      <c r="B12" s="212" t="s">
        <v>146</v>
      </c>
      <c r="C12" s="194">
        <v>9835</v>
      </c>
      <c r="D12" s="262">
        <v>0</v>
      </c>
      <c r="E12" s="262">
        <v>0</v>
      </c>
      <c r="F12" s="194">
        <v>127</v>
      </c>
      <c r="G12" s="194">
        <v>8406</v>
      </c>
      <c r="H12" s="194">
        <v>7572</v>
      </c>
      <c r="I12" s="262">
        <v>0</v>
      </c>
      <c r="J12" s="262">
        <v>0</v>
      </c>
      <c r="K12" s="262">
        <v>0</v>
      </c>
      <c r="L12" s="262">
        <v>0</v>
      </c>
      <c r="M12" s="262">
        <v>0</v>
      </c>
      <c r="N12" s="264">
        <v>2650</v>
      </c>
      <c r="O12" s="264">
        <v>2000</v>
      </c>
    </row>
    <row r="13" spans="1:15" ht="27.75" customHeight="1">
      <c r="A13" s="151">
        <v>2011</v>
      </c>
      <c r="B13" s="214" t="s">
        <v>147</v>
      </c>
      <c r="C13" s="196">
        <v>9146</v>
      </c>
      <c r="D13" s="263">
        <v>0</v>
      </c>
      <c r="E13" s="263">
        <v>0</v>
      </c>
      <c r="F13" s="196">
        <v>107</v>
      </c>
      <c r="G13" s="196">
        <v>8224</v>
      </c>
      <c r="H13" s="196">
        <v>7658</v>
      </c>
      <c r="I13" s="263">
        <v>0</v>
      </c>
      <c r="J13" s="263">
        <v>0</v>
      </c>
      <c r="K13" s="263">
        <v>0</v>
      </c>
      <c r="L13" s="263">
        <v>0</v>
      </c>
      <c r="M13" s="263">
        <v>0</v>
      </c>
      <c r="N13" s="196">
        <v>2797</v>
      </c>
      <c r="O13" s="268">
        <v>0</v>
      </c>
    </row>
    <row r="14" spans="1:15" ht="27.75" customHeight="1">
      <c r="A14" s="150" t="s">
        <v>316</v>
      </c>
      <c r="B14" s="212" t="s">
        <v>146</v>
      </c>
      <c r="C14" s="194">
        <v>10211</v>
      </c>
      <c r="D14" s="262">
        <v>0</v>
      </c>
      <c r="E14" s="262">
        <v>0</v>
      </c>
      <c r="F14" s="194">
        <v>127</v>
      </c>
      <c r="G14" s="194">
        <v>8936</v>
      </c>
      <c r="H14" s="194">
        <v>7540</v>
      </c>
      <c r="I14" s="262">
        <v>0</v>
      </c>
      <c r="J14" s="262">
        <v>0</v>
      </c>
      <c r="K14" s="262">
        <v>0</v>
      </c>
      <c r="L14" s="262">
        <v>0</v>
      </c>
      <c r="M14" s="262">
        <v>0</v>
      </c>
      <c r="N14" s="264">
        <v>2650</v>
      </c>
      <c r="O14" s="264">
        <v>2000</v>
      </c>
    </row>
    <row r="15" spans="1:15" ht="27.75" customHeight="1">
      <c r="A15" s="151">
        <v>2012</v>
      </c>
      <c r="B15" s="214" t="s">
        <v>147</v>
      </c>
      <c r="C15" s="196">
        <v>8712</v>
      </c>
      <c r="D15" s="263">
        <v>0</v>
      </c>
      <c r="E15" s="263">
        <v>0</v>
      </c>
      <c r="F15" s="196">
        <v>132</v>
      </c>
      <c r="G15" s="196">
        <v>8343</v>
      </c>
      <c r="H15" s="196">
        <v>7399</v>
      </c>
      <c r="I15" s="263">
        <v>0</v>
      </c>
      <c r="J15" s="263">
        <v>0</v>
      </c>
      <c r="K15" s="263">
        <v>0</v>
      </c>
      <c r="L15" s="263">
        <v>0</v>
      </c>
      <c r="M15" s="263">
        <v>0</v>
      </c>
      <c r="N15" s="196">
        <v>2040</v>
      </c>
      <c r="O15" s="196">
        <v>1800</v>
      </c>
    </row>
    <row r="16" spans="1:15" ht="27.75" customHeight="1">
      <c r="A16" s="150" t="s">
        <v>343</v>
      </c>
      <c r="B16" s="212" t="s">
        <v>146</v>
      </c>
      <c r="C16" s="194">
        <f>11132</f>
        <v>11132</v>
      </c>
      <c r="D16" s="262">
        <v>0</v>
      </c>
      <c r="E16" s="262">
        <v>0</v>
      </c>
      <c r="F16" s="194">
        <f>127</f>
        <v>127</v>
      </c>
      <c r="G16" s="194">
        <f>9176</f>
        <v>9176</v>
      </c>
      <c r="H16" s="194">
        <f>7585</f>
        <v>7585</v>
      </c>
      <c r="I16" s="262">
        <v>0</v>
      </c>
      <c r="J16" s="262">
        <v>0</v>
      </c>
      <c r="K16" s="262">
        <v>0</v>
      </c>
      <c r="L16" s="262">
        <v>0</v>
      </c>
      <c r="M16" s="262">
        <v>0</v>
      </c>
      <c r="N16" s="264">
        <f>3350</f>
        <v>3350</v>
      </c>
      <c r="O16" s="264">
        <f>1000</f>
        <v>1000</v>
      </c>
    </row>
    <row r="17" spans="1:15" ht="27.75" customHeight="1">
      <c r="A17" s="151">
        <v>2013</v>
      </c>
      <c r="B17" s="214" t="s">
        <v>147</v>
      </c>
      <c r="C17" s="196">
        <f>9727</f>
        <v>9727</v>
      </c>
      <c r="D17" s="263">
        <v>0</v>
      </c>
      <c r="E17" s="263">
        <v>0</v>
      </c>
      <c r="F17" s="196">
        <f>127</f>
        <v>127</v>
      </c>
      <c r="G17" s="196">
        <f>9298+250</f>
        <v>9548</v>
      </c>
      <c r="H17" s="196">
        <f>10222</f>
        <v>10222</v>
      </c>
      <c r="I17" s="263">
        <v>0</v>
      </c>
      <c r="J17" s="263">
        <v>0</v>
      </c>
      <c r="K17" s="263">
        <v>0</v>
      </c>
      <c r="L17" s="263">
        <v>0</v>
      </c>
      <c r="M17" s="263">
        <v>0</v>
      </c>
      <c r="N17" s="196">
        <f>3180</f>
        <v>3180</v>
      </c>
      <c r="O17" s="196">
        <f>1000</f>
        <v>1000</v>
      </c>
    </row>
    <row r="18" spans="1:15" ht="27.75" customHeight="1">
      <c r="A18" s="150" t="s">
        <v>374</v>
      </c>
      <c r="B18" s="212" t="s">
        <v>146</v>
      </c>
      <c r="C18" s="194">
        <f>12125</f>
        <v>12125</v>
      </c>
      <c r="D18" s="262">
        <v>0</v>
      </c>
      <c r="E18" s="262">
        <v>0</v>
      </c>
      <c r="F18" s="194">
        <v>172</v>
      </c>
      <c r="G18" s="194">
        <f>10073+838</f>
        <v>10911</v>
      </c>
      <c r="H18" s="194">
        <f>6586</f>
        <v>6586</v>
      </c>
      <c r="I18" s="262">
        <v>0</v>
      </c>
      <c r="J18" s="262">
        <v>0</v>
      </c>
      <c r="K18" s="262">
        <v>0</v>
      </c>
      <c r="L18" s="262">
        <v>0</v>
      </c>
      <c r="M18" s="262">
        <v>0</v>
      </c>
      <c r="N18" s="264">
        <f>2300+1700</f>
        <v>4000</v>
      </c>
      <c r="O18" s="264">
        <v>3000</v>
      </c>
    </row>
    <row r="19" spans="1:15" ht="27.75" customHeight="1">
      <c r="A19" s="151">
        <v>2014</v>
      </c>
      <c r="B19" s="214" t="s">
        <v>147</v>
      </c>
      <c r="C19" s="196">
        <v>9963</v>
      </c>
      <c r="D19" s="263">
        <v>0</v>
      </c>
      <c r="E19" s="263">
        <v>0</v>
      </c>
      <c r="F19" s="196">
        <v>172</v>
      </c>
      <c r="G19" s="196">
        <f>1138+9671</f>
        <v>10809</v>
      </c>
      <c r="H19" s="196">
        <v>6284</v>
      </c>
      <c r="I19" s="263">
        <v>0</v>
      </c>
      <c r="J19" s="263">
        <v>0</v>
      </c>
      <c r="K19" s="263">
        <v>0</v>
      </c>
      <c r="L19" s="263">
        <v>0</v>
      </c>
      <c r="M19" s="263">
        <v>0</v>
      </c>
      <c r="N19" s="196">
        <f>1912+952</f>
        <v>2864</v>
      </c>
      <c r="O19" s="196">
        <v>812</v>
      </c>
    </row>
    <row r="20" spans="1:15" ht="27.75" customHeight="1">
      <c r="A20" s="150" t="s">
        <v>383</v>
      </c>
      <c r="B20" s="212" t="s">
        <v>146</v>
      </c>
      <c r="C20" s="194">
        <v>5585</v>
      </c>
      <c r="D20" s="262">
        <v>0</v>
      </c>
      <c r="E20" s="262">
        <v>0</v>
      </c>
      <c r="F20" s="194">
        <v>252</v>
      </c>
      <c r="G20" s="194">
        <f>10903</f>
        <v>10903</v>
      </c>
      <c r="H20" s="194">
        <v>6337</v>
      </c>
      <c r="I20" s="262">
        <v>0</v>
      </c>
      <c r="J20" s="262">
        <v>0</v>
      </c>
      <c r="K20" s="262">
        <v>0</v>
      </c>
      <c r="L20" s="262">
        <v>0</v>
      </c>
      <c r="M20" s="262">
        <v>0</v>
      </c>
      <c r="N20" s="264">
        <f>2210+1550</f>
        <v>3760</v>
      </c>
      <c r="O20" s="264">
        <v>4000</v>
      </c>
    </row>
    <row r="21" spans="1:15" ht="27.75" customHeight="1">
      <c r="A21" s="151">
        <v>2015</v>
      </c>
      <c r="B21" s="214" t="s">
        <v>147</v>
      </c>
      <c r="C21" s="196">
        <f>4977</f>
        <v>4977</v>
      </c>
      <c r="D21" s="263">
        <v>0</v>
      </c>
      <c r="E21" s="263">
        <v>0</v>
      </c>
      <c r="F21" s="196">
        <v>252</v>
      </c>
      <c r="G21" s="196">
        <f>10702+682</f>
        <v>11384</v>
      </c>
      <c r="H21" s="196">
        <v>6641</v>
      </c>
      <c r="I21" s="263">
        <v>0</v>
      </c>
      <c r="J21" s="263">
        <v>0</v>
      </c>
      <c r="K21" s="263">
        <v>0</v>
      </c>
      <c r="L21" s="263">
        <v>0</v>
      </c>
      <c r="M21" s="263">
        <v>0</v>
      </c>
      <c r="N21" s="196">
        <f>1966+1550</f>
        <v>3516</v>
      </c>
      <c r="O21" s="196">
        <v>4000</v>
      </c>
    </row>
    <row r="22" spans="1:15" ht="27.75" customHeight="1">
      <c r="A22" s="150" t="s">
        <v>393</v>
      </c>
      <c r="B22" s="212" t="s">
        <v>146</v>
      </c>
      <c r="C22" s="194">
        <f>5606</f>
        <v>5606</v>
      </c>
      <c r="D22" s="262">
        <v>0</v>
      </c>
      <c r="E22" s="262">
        <v>0</v>
      </c>
      <c r="F22" s="194">
        <v>264</v>
      </c>
      <c r="G22" s="194">
        <f>10388</f>
        <v>10388</v>
      </c>
      <c r="H22" s="194">
        <v>6639</v>
      </c>
      <c r="I22" s="262">
        <v>0</v>
      </c>
      <c r="J22" s="262">
        <v>0</v>
      </c>
      <c r="K22" s="262">
        <v>0</v>
      </c>
      <c r="L22" s="262">
        <v>0</v>
      </c>
      <c r="M22" s="262">
        <v>0</v>
      </c>
      <c r="N22" s="264">
        <f>2010+1555</f>
        <v>3565</v>
      </c>
      <c r="O22" s="264">
        <v>2500</v>
      </c>
    </row>
    <row r="23" spans="1:15" ht="27.75" customHeight="1">
      <c r="A23" s="151">
        <v>2016</v>
      </c>
      <c r="B23" s="214" t="s">
        <v>147</v>
      </c>
      <c r="C23" s="196">
        <f>6498</f>
        <v>6498</v>
      </c>
      <c r="D23" s="263">
        <v>0</v>
      </c>
      <c r="E23" s="263">
        <v>0</v>
      </c>
      <c r="F23" s="196">
        <v>264</v>
      </c>
      <c r="G23" s="196">
        <f>10553</f>
        <v>10553</v>
      </c>
      <c r="H23" s="196">
        <v>6462</v>
      </c>
      <c r="I23" s="263">
        <v>0</v>
      </c>
      <c r="J23" s="263">
        <v>0</v>
      </c>
      <c r="K23" s="263">
        <v>0</v>
      </c>
      <c r="L23" s="263">
        <v>0</v>
      </c>
      <c r="M23" s="263">
        <v>0</v>
      </c>
      <c r="N23" s="196">
        <f>1610+1555</f>
        <v>3165</v>
      </c>
      <c r="O23" s="196">
        <v>2500</v>
      </c>
    </row>
    <row r="24" spans="1:15" ht="27.75" customHeight="1">
      <c r="A24" s="150" t="s">
        <v>400</v>
      </c>
      <c r="B24" s="212" t="s">
        <v>146</v>
      </c>
      <c r="C24" s="194">
        <v>5702</v>
      </c>
      <c r="D24" s="262">
        <v>0</v>
      </c>
      <c r="E24" s="262">
        <v>0</v>
      </c>
      <c r="F24" s="194">
        <v>274</v>
      </c>
      <c r="G24" s="194">
        <v>12137</v>
      </c>
      <c r="H24" s="194">
        <v>6433</v>
      </c>
      <c r="I24" s="262">
        <v>0</v>
      </c>
      <c r="J24" s="262">
        <v>0</v>
      </c>
      <c r="K24" s="262">
        <v>0</v>
      </c>
      <c r="L24" s="262">
        <v>0</v>
      </c>
      <c r="M24" s="262">
        <v>0</v>
      </c>
      <c r="N24" s="264">
        <f>1810+1570</f>
        <v>3380</v>
      </c>
      <c r="O24" s="264">
        <v>2500</v>
      </c>
    </row>
    <row r="25" spans="1:15" ht="27.75" customHeight="1">
      <c r="A25" s="151">
        <v>2017</v>
      </c>
      <c r="B25" s="214" t="s">
        <v>147</v>
      </c>
      <c r="C25" s="196">
        <f>5011+2016</f>
        <v>7027</v>
      </c>
      <c r="D25" s="263">
        <v>0</v>
      </c>
      <c r="E25" s="263">
        <v>0</v>
      </c>
      <c r="F25" s="196">
        <f>274</f>
        <v>274</v>
      </c>
      <c r="G25" s="196">
        <f>11980</f>
        <v>11980</v>
      </c>
      <c r="H25" s="196">
        <v>6351</v>
      </c>
      <c r="I25" s="263">
        <v>0</v>
      </c>
      <c r="J25" s="263">
        <v>0</v>
      </c>
      <c r="K25" s="263">
        <v>0</v>
      </c>
      <c r="L25" s="263">
        <v>0</v>
      </c>
      <c r="M25" s="263">
        <v>0</v>
      </c>
      <c r="N25" s="196">
        <f>1610+1570</f>
        <v>3180</v>
      </c>
      <c r="O25" s="196">
        <v>2500</v>
      </c>
    </row>
    <row r="26" spans="1:15" ht="27.75" customHeight="1">
      <c r="A26" s="150" t="s">
        <v>409</v>
      </c>
      <c r="B26" s="212" t="s">
        <v>146</v>
      </c>
      <c r="C26" s="194">
        <v>5794</v>
      </c>
      <c r="D26" s="262">
        <v>0</v>
      </c>
      <c r="E26" s="262">
        <v>0</v>
      </c>
      <c r="F26" s="194">
        <v>374</v>
      </c>
      <c r="G26" s="194">
        <v>11294</v>
      </c>
      <c r="H26" s="194">
        <v>6736</v>
      </c>
      <c r="I26" s="262">
        <v>0</v>
      </c>
      <c r="J26" s="262">
        <v>0</v>
      </c>
      <c r="K26" s="262">
        <v>0</v>
      </c>
      <c r="L26" s="262">
        <v>0</v>
      </c>
      <c r="M26" s="262">
        <v>0</v>
      </c>
      <c r="N26" s="264">
        <v>3310</v>
      </c>
      <c r="O26" s="264">
        <v>2500</v>
      </c>
    </row>
    <row r="27" spans="1:15" ht="27.75" customHeight="1">
      <c r="A27" s="151">
        <v>2018</v>
      </c>
      <c r="B27" s="214" t="s">
        <v>147</v>
      </c>
      <c r="C27" s="196">
        <v>5794</v>
      </c>
      <c r="D27" s="263">
        <v>0</v>
      </c>
      <c r="E27" s="263">
        <v>0</v>
      </c>
      <c r="F27" s="196">
        <v>374</v>
      </c>
      <c r="G27" s="196">
        <v>12978</v>
      </c>
      <c r="H27" s="196">
        <v>7045</v>
      </c>
      <c r="I27" s="263">
        <v>0</v>
      </c>
      <c r="J27" s="263">
        <v>0</v>
      </c>
      <c r="K27" s="263">
        <v>0</v>
      </c>
      <c r="L27" s="263">
        <v>0</v>
      </c>
      <c r="M27" s="263">
        <v>0</v>
      </c>
      <c r="N27" s="196">
        <v>2860</v>
      </c>
      <c r="O27" s="196">
        <v>48</v>
      </c>
    </row>
    <row r="28" spans="1:16" ht="4.5" customHeight="1" thickBot="1">
      <c r="A28" s="63" t="s">
        <v>22</v>
      </c>
      <c r="B28" s="48" t="s">
        <v>22</v>
      </c>
      <c r="C28" s="16" t="s">
        <v>24</v>
      </c>
      <c r="D28" s="16" t="s">
        <v>25</v>
      </c>
      <c r="E28" s="16" t="s">
        <v>25</v>
      </c>
      <c r="F28" s="16" t="s">
        <v>25</v>
      </c>
      <c r="G28" s="16" t="s">
        <v>25</v>
      </c>
      <c r="H28" s="16" t="s">
        <v>25</v>
      </c>
      <c r="I28" s="16" t="s">
        <v>25</v>
      </c>
      <c r="J28" s="16" t="s">
        <v>24</v>
      </c>
      <c r="K28" s="16" t="s">
        <v>22</v>
      </c>
      <c r="L28" s="16" t="s">
        <v>22</v>
      </c>
      <c r="M28" s="16" t="s">
        <v>25</v>
      </c>
      <c r="N28" s="16" t="s">
        <v>22</v>
      </c>
      <c r="O28" s="16" t="s">
        <v>22</v>
      </c>
      <c r="P28" s="28"/>
    </row>
    <row r="29" spans="1:56" ht="16.5">
      <c r="A29" s="158" t="s">
        <v>30</v>
      </c>
      <c r="B29" s="62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10"/>
      <c r="N29" s="11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</sheetData>
  <sheetProtection/>
  <mergeCells count="7">
    <mergeCell ref="N1:O1"/>
    <mergeCell ref="H2:O2"/>
    <mergeCell ref="H3:O3"/>
    <mergeCell ref="A6:B6"/>
    <mergeCell ref="A2:G2"/>
    <mergeCell ref="A3:G3"/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geOrder="overThenDown" paperSize="9" scale="98" r:id="rId1"/>
  <colBreaks count="1" manualBreakCount="1">
    <brk id="7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1">
      <pane xSplit="2" ySplit="6" topLeftCell="C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7" sqref="C17"/>
    </sheetView>
  </sheetViews>
  <sheetFormatPr defaultColWidth="9.00390625" defaultRowHeight="16.5"/>
  <cols>
    <col min="1" max="1" width="13.00390625" style="59" customWidth="1"/>
    <col min="2" max="2" width="12.375" style="3" customWidth="1"/>
    <col min="3" max="3" width="10.875" style="3" customWidth="1"/>
    <col min="4" max="5" width="9.625" style="3" customWidth="1"/>
    <col min="6" max="6" width="10.125" style="3" customWidth="1"/>
    <col min="7" max="7" width="10.625" style="3" customWidth="1"/>
    <col min="8" max="8" width="9.75390625" style="3" customWidth="1"/>
    <col min="9" max="9" width="11.75390625" style="254" customWidth="1"/>
    <col min="10" max="15" width="11.75390625" style="3" customWidth="1"/>
    <col min="16" max="16384" width="9.00390625" style="3" customWidth="1"/>
  </cols>
  <sheetData>
    <row r="1" spans="1:28" s="59" customFormat="1" ht="16.5">
      <c r="A1" s="111">
        <f>'6-3預算歲出續'!A1:B1+2</f>
        <v>102</v>
      </c>
      <c r="B1" s="60"/>
      <c r="C1" s="58"/>
      <c r="D1" s="58"/>
      <c r="E1" s="58"/>
      <c r="F1" s="58"/>
      <c r="G1" s="58"/>
      <c r="H1" s="58"/>
      <c r="I1" s="335"/>
      <c r="J1" s="58"/>
      <c r="K1" s="58"/>
      <c r="L1" s="58"/>
      <c r="M1" s="58"/>
      <c r="N1" s="355">
        <f>A1+1</f>
        <v>103</v>
      </c>
      <c r="O1" s="35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s="59" customFormat="1" ht="21">
      <c r="A2" s="423" t="s">
        <v>362</v>
      </c>
      <c r="B2" s="423"/>
      <c r="C2" s="423"/>
      <c r="D2" s="423"/>
      <c r="E2" s="423"/>
      <c r="F2" s="423"/>
      <c r="G2" s="423"/>
      <c r="H2" s="423"/>
      <c r="I2" s="424" t="s">
        <v>363</v>
      </c>
      <c r="J2" s="425"/>
      <c r="K2" s="425"/>
      <c r="L2" s="425"/>
      <c r="M2" s="425"/>
      <c r="N2" s="425"/>
      <c r="O2" s="425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 s="152" customFormat="1" ht="16.5">
      <c r="A3" s="420" t="s">
        <v>192</v>
      </c>
      <c r="B3" s="420"/>
      <c r="C3" s="420"/>
      <c r="D3" s="420"/>
      <c r="E3" s="420"/>
      <c r="F3" s="420"/>
      <c r="G3" s="420"/>
      <c r="H3" s="420"/>
      <c r="I3" s="420" t="s">
        <v>326</v>
      </c>
      <c r="J3" s="420"/>
      <c r="K3" s="420"/>
      <c r="L3" s="420"/>
      <c r="M3" s="420"/>
      <c r="N3" s="420"/>
      <c r="O3" s="420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</row>
    <row r="4" spans="1:28" s="59" customFormat="1" ht="17.25" thickBot="1">
      <c r="A4" s="122" t="s">
        <v>0</v>
      </c>
      <c r="B4" s="58"/>
      <c r="C4" s="58"/>
      <c r="D4" s="58"/>
      <c r="E4" s="58"/>
      <c r="F4" s="58"/>
      <c r="G4" s="58"/>
      <c r="H4" s="58"/>
      <c r="I4" s="335"/>
      <c r="J4" s="58"/>
      <c r="K4" s="58"/>
      <c r="L4" s="58"/>
      <c r="M4" s="58"/>
      <c r="N4" s="58"/>
      <c r="O4" s="134" t="s">
        <v>67</v>
      </c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s="33" customFormat="1" ht="30" customHeight="1">
      <c r="A5" s="124" t="s">
        <v>134</v>
      </c>
      <c r="B5" s="126" t="s">
        <v>195</v>
      </c>
      <c r="C5" s="127" t="s">
        <v>196</v>
      </c>
      <c r="D5" s="127" t="s">
        <v>235</v>
      </c>
      <c r="E5" s="127" t="s">
        <v>236</v>
      </c>
      <c r="F5" s="127" t="s">
        <v>237</v>
      </c>
      <c r="G5" s="126" t="s">
        <v>238</v>
      </c>
      <c r="H5" s="126" t="s">
        <v>12</v>
      </c>
      <c r="I5" s="336" t="s">
        <v>239</v>
      </c>
      <c r="J5" s="127" t="s">
        <v>240</v>
      </c>
      <c r="K5" s="127" t="s">
        <v>241</v>
      </c>
      <c r="L5" s="126" t="s">
        <v>242</v>
      </c>
      <c r="M5" s="127" t="s">
        <v>197</v>
      </c>
      <c r="N5" s="127" t="s">
        <v>243</v>
      </c>
      <c r="O5" s="129" t="s">
        <v>244</v>
      </c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28" s="33" customFormat="1" ht="60" customHeight="1" thickBot="1">
      <c r="A6" s="91" t="s">
        <v>138</v>
      </c>
      <c r="B6" s="87" t="s">
        <v>81</v>
      </c>
      <c r="C6" s="82" t="s">
        <v>200</v>
      </c>
      <c r="D6" s="83" t="s">
        <v>201</v>
      </c>
      <c r="E6" s="82" t="s">
        <v>202</v>
      </c>
      <c r="F6" s="82" t="s">
        <v>203</v>
      </c>
      <c r="G6" s="82" t="s">
        <v>255</v>
      </c>
      <c r="H6" s="82" t="s">
        <v>254</v>
      </c>
      <c r="I6" s="337" t="s">
        <v>253</v>
      </c>
      <c r="J6" s="82" t="s">
        <v>207</v>
      </c>
      <c r="K6" s="82" t="s">
        <v>252</v>
      </c>
      <c r="L6" s="82" t="s">
        <v>251</v>
      </c>
      <c r="M6" s="84" t="s">
        <v>210</v>
      </c>
      <c r="N6" s="82" t="s">
        <v>211</v>
      </c>
      <c r="O6" s="84" t="s">
        <v>212</v>
      </c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</row>
    <row r="7" spans="1:28" s="33" customFormat="1" ht="5.25" customHeight="1">
      <c r="A7" s="291"/>
      <c r="B7" s="288"/>
      <c r="C7" s="290"/>
      <c r="D7" s="292"/>
      <c r="E7" s="290"/>
      <c r="F7" s="290"/>
      <c r="G7" s="290"/>
      <c r="H7" s="290"/>
      <c r="I7" s="338"/>
      <c r="J7" s="290"/>
      <c r="K7" s="290"/>
      <c r="L7" s="290"/>
      <c r="M7" s="290"/>
      <c r="N7" s="290"/>
      <c r="O7" s="290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spans="1:28" s="14" customFormat="1" ht="52.5" customHeight="1">
      <c r="A8" s="148" t="s">
        <v>295</v>
      </c>
      <c r="B8" s="265">
        <v>149392</v>
      </c>
      <c r="C8" s="265">
        <v>17481</v>
      </c>
      <c r="D8" s="265">
        <v>11652</v>
      </c>
      <c r="E8" s="265">
        <v>28638</v>
      </c>
      <c r="F8" s="265">
        <v>3104</v>
      </c>
      <c r="G8" s="265">
        <v>192</v>
      </c>
      <c r="H8" s="267">
        <v>0</v>
      </c>
      <c r="I8" s="339">
        <v>1790</v>
      </c>
      <c r="J8" s="265">
        <v>7403</v>
      </c>
      <c r="K8" s="265">
        <v>104</v>
      </c>
      <c r="L8" s="265">
        <v>2945</v>
      </c>
      <c r="M8" s="265">
        <v>49965</v>
      </c>
      <c r="N8" s="267">
        <v>0</v>
      </c>
      <c r="O8" s="265">
        <v>14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14" customFormat="1" ht="52.5" customHeight="1">
      <c r="A9" s="148" t="s">
        <v>298</v>
      </c>
      <c r="B9" s="265">
        <v>101704</v>
      </c>
      <c r="C9" s="265">
        <v>15063</v>
      </c>
      <c r="D9" s="265">
        <v>9731</v>
      </c>
      <c r="E9" s="265">
        <v>23011</v>
      </c>
      <c r="F9" s="265">
        <v>3234</v>
      </c>
      <c r="G9" s="267">
        <v>0</v>
      </c>
      <c r="H9" s="267">
        <v>0</v>
      </c>
      <c r="I9" s="339">
        <v>1697</v>
      </c>
      <c r="J9" s="265">
        <v>4270</v>
      </c>
      <c r="K9" s="265">
        <v>43</v>
      </c>
      <c r="L9" s="265">
        <v>2896</v>
      </c>
      <c r="M9" s="265">
        <v>13472</v>
      </c>
      <c r="N9" s="267">
        <v>0</v>
      </c>
      <c r="O9" s="267">
        <v>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s="14" customFormat="1" ht="52.5" customHeight="1">
      <c r="A10" s="148" t="s">
        <v>302</v>
      </c>
      <c r="B10" s="265">
        <v>147818</v>
      </c>
      <c r="C10" s="265">
        <f>13301</f>
        <v>13301</v>
      </c>
      <c r="D10" s="265">
        <f>15677</f>
        <v>15677</v>
      </c>
      <c r="E10" s="265">
        <f>24512</f>
        <v>24512</v>
      </c>
      <c r="F10" s="265">
        <v>3352</v>
      </c>
      <c r="G10" s="267">
        <v>0</v>
      </c>
      <c r="H10" s="267">
        <v>0</v>
      </c>
      <c r="I10" s="339">
        <f>4445</f>
        <v>4445</v>
      </c>
      <c r="J10" s="265">
        <v>7139</v>
      </c>
      <c r="K10" s="265">
        <v>32</v>
      </c>
      <c r="L10" s="265">
        <v>3083</v>
      </c>
      <c r="M10" s="265">
        <v>49125</v>
      </c>
      <c r="N10" s="267">
        <v>0</v>
      </c>
      <c r="O10" s="267">
        <v>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14" customFormat="1" ht="52.5" customHeight="1">
      <c r="A11" s="148" t="s">
        <v>319</v>
      </c>
      <c r="B11" s="265">
        <v>152259</v>
      </c>
      <c r="C11" s="265">
        <f>13948+62</f>
        <v>14010</v>
      </c>
      <c r="D11" s="265">
        <f>11141+686</f>
        <v>11827</v>
      </c>
      <c r="E11" s="265">
        <f>22043+2119</f>
        <v>24162</v>
      </c>
      <c r="F11" s="265">
        <v>3182</v>
      </c>
      <c r="G11" s="267">
        <v>0</v>
      </c>
      <c r="H11" s="267">
        <v>0</v>
      </c>
      <c r="I11" s="339">
        <f>2096+120</f>
        <v>2216</v>
      </c>
      <c r="J11" s="265">
        <f>6477+1082</f>
        <v>7559</v>
      </c>
      <c r="K11" s="265">
        <v>28</v>
      </c>
      <c r="L11" s="265">
        <f>3991+7286</f>
        <v>11277</v>
      </c>
      <c r="M11" s="265">
        <f>2210+49171</f>
        <v>51381</v>
      </c>
      <c r="N11" s="267">
        <v>0</v>
      </c>
      <c r="O11" s="267">
        <v>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14" customFormat="1" ht="52.5" customHeight="1">
      <c r="A12" s="148" t="s">
        <v>345</v>
      </c>
      <c r="B12" s="265">
        <v>155954</v>
      </c>
      <c r="C12" s="265">
        <f>14031+50</f>
        <v>14081</v>
      </c>
      <c r="D12" s="265">
        <f>11955+3460</f>
        <v>15415</v>
      </c>
      <c r="E12" s="265">
        <f>26969+2823</f>
        <v>29792</v>
      </c>
      <c r="F12" s="265">
        <f>3448</f>
        <v>3448</v>
      </c>
      <c r="G12" s="267">
        <v>0</v>
      </c>
      <c r="H12" s="267">
        <v>0</v>
      </c>
      <c r="I12" s="339">
        <f>702+765</f>
        <v>1467</v>
      </c>
      <c r="J12" s="265">
        <f>5426+244</f>
        <v>5670</v>
      </c>
      <c r="K12" s="265">
        <v>19</v>
      </c>
      <c r="L12" s="265">
        <v>3091</v>
      </c>
      <c r="M12" s="265">
        <f>3158+50025</f>
        <v>53183</v>
      </c>
      <c r="N12" s="267">
        <v>0</v>
      </c>
      <c r="O12" s="267">
        <v>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14" customFormat="1" ht="52.5" customHeight="1">
      <c r="A13" s="148" t="s">
        <v>376</v>
      </c>
      <c r="B13" s="265">
        <v>183497</v>
      </c>
      <c r="C13" s="265">
        <f>14169+113</f>
        <v>14282</v>
      </c>
      <c r="D13" s="265">
        <f>17174+1732</f>
        <v>18906</v>
      </c>
      <c r="E13" s="265">
        <f>30467+5979</f>
        <v>36446</v>
      </c>
      <c r="F13" s="265">
        <v>3844</v>
      </c>
      <c r="G13" s="267">
        <v>0</v>
      </c>
      <c r="H13" s="267">
        <v>0</v>
      </c>
      <c r="I13" s="339">
        <f>1321+10</f>
        <v>1331</v>
      </c>
      <c r="J13" s="265">
        <f>5093+482</f>
        <v>5575</v>
      </c>
      <c r="K13" s="265">
        <v>52</v>
      </c>
      <c r="L13" s="265">
        <v>3789</v>
      </c>
      <c r="M13" s="265">
        <f>3852+67003</f>
        <v>70855</v>
      </c>
      <c r="N13" s="267">
        <v>0</v>
      </c>
      <c r="O13" s="267">
        <v>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s="14" customFormat="1" ht="52.5" customHeight="1">
      <c r="A14" s="148" t="s">
        <v>385</v>
      </c>
      <c r="B14" s="265">
        <v>170550</v>
      </c>
      <c r="C14" s="265">
        <f>14081+100</f>
        <v>14181</v>
      </c>
      <c r="D14" s="265">
        <f>14633+540</f>
        <v>15173</v>
      </c>
      <c r="E14" s="265">
        <f>28250+1065</f>
        <v>29315</v>
      </c>
      <c r="F14" s="265">
        <v>3635</v>
      </c>
      <c r="G14" s="265">
        <v>4433</v>
      </c>
      <c r="H14" s="267">
        <v>0</v>
      </c>
      <c r="I14" s="339">
        <f>1571+12</f>
        <v>1583</v>
      </c>
      <c r="J14" s="265">
        <f>4930+459</f>
        <v>5389</v>
      </c>
      <c r="K14" s="265">
        <v>446</v>
      </c>
      <c r="L14" s="267">
        <v>0</v>
      </c>
      <c r="M14" s="265">
        <f>9152+62514</f>
        <v>71666</v>
      </c>
      <c r="N14" s="265">
        <v>394</v>
      </c>
      <c r="O14" s="267">
        <v>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s="14" customFormat="1" ht="52.5" customHeight="1">
      <c r="A15" s="148" t="s">
        <v>395</v>
      </c>
      <c r="B15" s="265">
        <v>161402</v>
      </c>
      <c r="C15" s="265">
        <v>15004</v>
      </c>
      <c r="D15" s="265">
        <v>17400</v>
      </c>
      <c r="E15" s="265">
        <v>29337</v>
      </c>
      <c r="F15" s="265">
        <v>3758</v>
      </c>
      <c r="G15" s="265">
        <v>4280</v>
      </c>
      <c r="H15" s="267">
        <v>0</v>
      </c>
      <c r="I15" s="339">
        <v>1610</v>
      </c>
      <c r="J15" s="265">
        <v>5323</v>
      </c>
      <c r="K15" s="265">
        <v>16</v>
      </c>
      <c r="L15" s="267">
        <v>0</v>
      </c>
      <c r="M15" s="265">
        <v>59284</v>
      </c>
      <c r="N15" s="265">
        <v>395</v>
      </c>
      <c r="O15" s="267">
        <v>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s="14" customFormat="1" ht="52.5" customHeight="1">
      <c r="A16" s="148" t="s">
        <v>402</v>
      </c>
      <c r="B16" s="265">
        <v>212005</v>
      </c>
      <c r="C16" s="265">
        <v>14264</v>
      </c>
      <c r="D16" s="265">
        <v>19558</v>
      </c>
      <c r="E16" s="265">
        <v>28442</v>
      </c>
      <c r="F16" s="265">
        <v>3830</v>
      </c>
      <c r="G16" s="265">
        <v>4960</v>
      </c>
      <c r="H16" s="267">
        <v>0</v>
      </c>
      <c r="I16" s="339">
        <v>1706</v>
      </c>
      <c r="J16" s="265">
        <f>5115+770</f>
        <v>5885</v>
      </c>
      <c r="K16" s="265">
        <v>11</v>
      </c>
      <c r="L16" s="267">
        <v>0</v>
      </c>
      <c r="M16" s="265">
        <f>10166+96254</f>
        <v>106420</v>
      </c>
      <c r="N16" s="265">
        <v>323</v>
      </c>
      <c r="O16" s="267"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s="14" customFormat="1" ht="52.5" customHeight="1">
      <c r="A17" s="148" t="s">
        <v>411</v>
      </c>
      <c r="B17" s="265">
        <v>238420</v>
      </c>
      <c r="C17" s="265">
        <v>14644</v>
      </c>
      <c r="D17" s="265">
        <v>16153</v>
      </c>
      <c r="E17" s="265">
        <v>36585</v>
      </c>
      <c r="F17" s="265">
        <v>4063</v>
      </c>
      <c r="G17" s="265">
        <v>5986</v>
      </c>
      <c r="H17" s="267">
        <v>0</v>
      </c>
      <c r="I17" s="339">
        <v>1777</v>
      </c>
      <c r="J17" s="265">
        <v>7375</v>
      </c>
      <c r="K17" s="265">
        <v>511</v>
      </c>
      <c r="L17" s="267">
        <v>0</v>
      </c>
      <c r="M17" s="265">
        <v>123492</v>
      </c>
      <c r="N17" s="265">
        <v>364</v>
      </c>
      <c r="O17" s="267">
        <v>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s="14" customFormat="1" ht="5.25" customHeight="1" thickBot="1">
      <c r="A18" s="255"/>
      <c r="B18" s="266"/>
      <c r="C18" s="266"/>
      <c r="D18" s="266"/>
      <c r="E18" s="266"/>
      <c r="F18" s="266"/>
      <c r="G18" s="266"/>
      <c r="H18" s="266"/>
      <c r="I18" s="340"/>
      <c r="J18" s="266"/>
      <c r="K18" s="266"/>
      <c r="L18" s="266"/>
      <c r="M18" s="266"/>
      <c r="N18" s="266"/>
      <c r="O18" s="26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15" ht="16.5">
      <c r="A19" s="158" t="s">
        <v>234</v>
      </c>
      <c r="B19" s="9"/>
      <c r="C19" s="10"/>
      <c r="D19" s="10"/>
      <c r="E19" s="10"/>
      <c r="F19" s="10"/>
      <c r="G19" s="10"/>
      <c r="H19" s="10"/>
      <c r="I19" s="341"/>
      <c r="J19" s="10"/>
      <c r="K19" s="10"/>
      <c r="L19" s="10"/>
      <c r="M19" s="10"/>
      <c r="N19" s="11"/>
      <c r="O19" s="10"/>
    </row>
    <row r="20" spans="1:15" ht="16.5">
      <c r="A20" s="8"/>
      <c r="B20" s="10"/>
      <c r="C20" s="9"/>
      <c r="D20" s="9"/>
      <c r="E20" s="9"/>
      <c r="F20" s="9"/>
      <c r="G20" s="10"/>
      <c r="H20" s="10"/>
      <c r="I20" s="341"/>
      <c r="J20" s="10"/>
      <c r="K20" s="11"/>
      <c r="L20" s="10"/>
      <c r="M20" s="10"/>
      <c r="N20" s="10"/>
      <c r="O20" s="10"/>
    </row>
    <row r="21" spans="1:15" ht="16.5">
      <c r="A21" s="8"/>
      <c r="B21" s="10"/>
      <c r="C21" s="9"/>
      <c r="D21" s="9"/>
      <c r="E21" s="9"/>
      <c r="F21" s="9"/>
      <c r="G21" s="10"/>
      <c r="H21" s="10"/>
      <c r="I21" s="341"/>
      <c r="J21" s="10"/>
      <c r="K21" s="11"/>
      <c r="L21" s="10"/>
      <c r="M21" s="10"/>
      <c r="N21" s="10"/>
      <c r="O21" s="10"/>
    </row>
    <row r="22" spans="1:15" ht="16.5">
      <c r="A22" s="8"/>
      <c r="B22" s="10"/>
      <c r="C22" s="9"/>
      <c r="D22" s="9"/>
      <c r="E22" s="9"/>
      <c r="F22" s="9"/>
      <c r="G22" s="10"/>
      <c r="H22" s="10"/>
      <c r="I22" s="341"/>
      <c r="J22" s="10"/>
      <c r="K22" s="11"/>
      <c r="L22" s="10"/>
      <c r="M22" s="10"/>
      <c r="N22" s="10"/>
      <c r="O22" s="10"/>
    </row>
    <row r="23" spans="1:15" ht="16.5">
      <c r="A23" s="8"/>
      <c r="B23" s="10"/>
      <c r="C23" s="9"/>
      <c r="D23" s="9"/>
      <c r="E23" s="9"/>
      <c r="F23" s="9"/>
      <c r="G23" s="10"/>
      <c r="H23" s="10"/>
      <c r="I23" s="341"/>
      <c r="J23" s="10"/>
      <c r="K23" s="11"/>
      <c r="L23" s="10"/>
      <c r="M23" s="10"/>
      <c r="N23" s="10"/>
      <c r="O23" s="10"/>
    </row>
    <row r="24" spans="1:15" ht="16.5">
      <c r="A24" s="64"/>
      <c r="B24" s="13"/>
      <c r="C24" s="13"/>
      <c r="D24" s="13"/>
      <c r="E24" s="13"/>
      <c r="F24" s="13"/>
      <c r="G24" s="12"/>
      <c r="H24" s="13"/>
      <c r="I24" s="342"/>
      <c r="J24" s="13"/>
      <c r="K24" s="13"/>
      <c r="L24" s="13"/>
      <c r="M24" s="13"/>
      <c r="N24" s="13"/>
      <c r="O24" s="12"/>
    </row>
    <row r="25" spans="2:14" ht="16.5">
      <c r="B25" s="13"/>
      <c r="C25" s="13"/>
      <c r="D25" s="13"/>
      <c r="E25" s="13"/>
      <c r="F25" s="13"/>
      <c r="H25" s="13"/>
      <c r="I25" s="342"/>
      <c r="J25" s="13"/>
      <c r="K25" s="13"/>
      <c r="L25" s="13"/>
      <c r="M25" s="13"/>
      <c r="N25" s="13"/>
    </row>
  </sheetData>
  <sheetProtection/>
  <mergeCells count="5">
    <mergeCell ref="N1:O1"/>
    <mergeCell ref="A3:H3"/>
    <mergeCell ref="A2:H2"/>
    <mergeCell ref="I2:O2"/>
    <mergeCell ref="I3:O3"/>
  </mergeCells>
  <printOptions/>
  <pageMargins left="0.7480314960629921" right="0.7480314960629921" top="0.984251968503937" bottom="0" header="0.5118110236220472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pane xSplit="1" ySplit="6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24" sqref="N24"/>
    </sheetView>
  </sheetViews>
  <sheetFormatPr defaultColWidth="9.00390625" defaultRowHeight="16.5"/>
  <cols>
    <col min="1" max="1" width="14.625" style="59" customWidth="1"/>
    <col min="2" max="7" width="10.625" style="3" customWidth="1"/>
    <col min="8" max="14" width="10.875" style="3" customWidth="1"/>
    <col min="15" max="16384" width="9.00390625" style="3" customWidth="1"/>
  </cols>
  <sheetData>
    <row r="1" spans="1:25" s="59" customFormat="1" ht="16.5">
      <c r="A1" s="111">
        <f>'6-3決算歲出'!N1+1</f>
        <v>104</v>
      </c>
      <c r="B1" s="60"/>
      <c r="C1" s="58"/>
      <c r="D1" s="58"/>
      <c r="E1" s="58"/>
      <c r="F1" s="58"/>
      <c r="G1" s="58"/>
      <c r="H1" s="58"/>
      <c r="I1" s="58"/>
      <c r="J1" s="58"/>
      <c r="K1" s="58"/>
      <c r="L1" s="58"/>
      <c r="M1" s="355">
        <f>A1+1</f>
        <v>105</v>
      </c>
      <c r="N1" s="355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s="59" customFormat="1" ht="21">
      <c r="A2" s="423" t="s">
        <v>364</v>
      </c>
      <c r="B2" s="423"/>
      <c r="C2" s="423"/>
      <c r="D2" s="423"/>
      <c r="E2" s="423"/>
      <c r="F2" s="423"/>
      <c r="G2" s="423"/>
      <c r="H2" s="424" t="s">
        <v>365</v>
      </c>
      <c r="I2" s="424"/>
      <c r="J2" s="424"/>
      <c r="K2" s="424"/>
      <c r="L2" s="424"/>
      <c r="M2" s="424"/>
      <c r="N2" s="424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s="160" customFormat="1" ht="16.5">
      <c r="A3" s="426" t="s">
        <v>246</v>
      </c>
      <c r="B3" s="426"/>
      <c r="C3" s="426"/>
      <c r="D3" s="426"/>
      <c r="E3" s="426"/>
      <c r="F3" s="426"/>
      <c r="G3" s="426"/>
      <c r="H3" s="427" t="s">
        <v>326</v>
      </c>
      <c r="I3" s="427"/>
      <c r="J3" s="427"/>
      <c r="K3" s="427"/>
      <c r="L3" s="427"/>
      <c r="M3" s="427"/>
      <c r="N3" s="427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</row>
    <row r="4" spans="1:25" s="59" customFormat="1" ht="17.25" thickBot="1">
      <c r="A4" s="122" t="s">
        <v>0</v>
      </c>
      <c r="B4" s="58"/>
      <c r="C4" s="58"/>
      <c r="D4" s="58"/>
      <c r="E4" s="58"/>
      <c r="F4" s="58"/>
      <c r="I4" s="58"/>
      <c r="J4" s="58"/>
      <c r="K4" s="58"/>
      <c r="L4" s="58"/>
      <c r="M4" s="58"/>
      <c r="N4" s="134" t="s">
        <v>67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14" s="59" customFormat="1" ht="30" customHeight="1">
      <c r="A5" s="124" t="s">
        <v>134</v>
      </c>
      <c r="B5" s="157" t="s">
        <v>27</v>
      </c>
      <c r="C5" s="127" t="s">
        <v>31</v>
      </c>
      <c r="D5" s="127" t="s">
        <v>32</v>
      </c>
      <c r="E5" s="127" t="s">
        <v>33</v>
      </c>
      <c r="F5" s="127" t="s">
        <v>34</v>
      </c>
      <c r="G5" s="127" t="s">
        <v>28</v>
      </c>
      <c r="H5" s="128" t="s">
        <v>43</v>
      </c>
      <c r="I5" s="127" t="s">
        <v>61</v>
      </c>
      <c r="J5" s="127" t="s">
        <v>18</v>
      </c>
      <c r="K5" s="127" t="s">
        <v>29</v>
      </c>
      <c r="L5" s="127" t="s">
        <v>247</v>
      </c>
      <c r="M5" s="127" t="s">
        <v>19</v>
      </c>
      <c r="N5" s="129" t="s">
        <v>44</v>
      </c>
    </row>
    <row r="6" spans="1:14" s="59" customFormat="1" ht="60" customHeight="1" thickBot="1">
      <c r="A6" s="93" t="s">
        <v>64</v>
      </c>
      <c r="B6" s="82" t="s">
        <v>126</v>
      </c>
      <c r="C6" s="82" t="s">
        <v>250</v>
      </c>
      <c r="D6" s="82" t="s">
        <v>127</v>
      </c>
      <c r="E6" s="82" t="s">
        <v>57</v>
      </c>
      <c r="F6" s="82" t="s">
        <v>249</v>
      </c>
      <c r="G6" s="82" t="s">
        <v>58</v>
      </c>
      <c r="H6" s="87" t="s">
        <v>227</v>
      </c>
      <c r="I6" s="94" t="s">
        <v>230</v>
      </c>
      <c r="J6" s="82" t="s">
        <v>233</v>
      </c>
      <c r="K6" s="94" t="s">
        <v>231</v>
      </c>
      <c r="L6" s="82" t="s">
        <v>248</v>
      </c>
      <c r="M6" s="94" t="s">
        <v>228</v>
      </c>
      <c r="N6" s="132" t="s">
        <v>229</v>
      </c>
    </row>
    <row r="7" spans="1:25" s="14" customFormat="1" ht="5.25" customHeight="1">
      <c r="A7" s="148"/>
      <c r="B7" s="265"/>
      <c r="C7" s="267"/>
      <c r="D7" s="267"/>
      <c r="E7" s="265"/>
      <c r="F7" s="265"/>
      <c r="G7" s="265"/>
      <c r="H7" s="267"/>
      <c r="I7" s="267"/>
      <c r="J7" s="267"/>
      <c r="K7" s="267"/>
      <c r="L7" s="267"/>
      <c r="M7" s="267"/>
      <c r="N7" s="265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s="14" customFormat="1" ht="52.5" customHeight="1">
      <c r="A8" s="148" t="s">
        <v>296</v>
      </c>
      <c r="B8" s="265">
        <v>8980</v>
      </c>
      <c r="C8" s="267">
        <v>0</v>
      </c>
      <c r="D8" s="267">
        <v>0</v>
      </c>
      <c r="E8" s="265">
        <v>140</v>
      </c>
      <c r="F8" s="265">
        <v>8640</v>
      </c>
      <c r="G8" s="265">
        <v>6415</v>
      </c>
      <c r="H8" s="267">
        <v>0</v>
      </c>
      <c r="I8" s="267">
        <v>0</v>
      </c>
      <c r="J8" s="267">
        <v>0</v>
      </c>
      <c r="K8" s="267">
        <v>0</v>
      </c>
      <c r="L8" s="267">
        <v>0</v>
      </c>
      <c r="M8" s="267">
        <v>0</v>
      </c>
      <c r="N8" s="265">
        <v>1929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s="14" customFormat="1" ht="52.5" customHeight="1">
      <c r="A9" s="148" t="s">
        <v>298</v>
      </c>
      <c r="B9" s="265">
        <v>8579</v>
      </c>
      <c r="C9" s="267">
        <v>0</v>
      </c>
      <c r="D9" s="267">
        <v>0</v>
      </c>
      <c r="E9" s="265">
        <v>113</v>
      </c>
      <c r="F9" s="265">
        <v>9345</v>
      </c>
      <c r="G9" s="265">
        <v>8336</v>
      </c>
      <c r="H9" s="267">
        <v>0</v>
      </c>
      <c r="I9" s="267">
        <v>0</v>
      </c>
      <c r="J9" s="267">
        <v>0</v>
      </c>
      <c r="K9" s="267">
        <v>0</v>
      </c>
      <c r="L9" s="267">
        <v>0</v>
      </c>
      <c r="M9" s="267">
        <v>0</v>
      </c>
      <c r="N9" s="265">
        <v>1914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s="14" customFormat="1" ht="52.5" customHeight="1">
      <c r="A10" s="148" t="s">
        <v>302</v>
      </c>
      <c r="B10" s="265">
        <v>8838</v>
      </c>
      <c r="C10" s="267">
        <v>0</v>
      </c>
      <c r="D10" s="267">
        <v>0</v>
      </c>
      <c r="E10" s="265">
        <v>107</v>
      </c>
      <c r="F10" s="265">
        <v>7850</v>
      </c>
      <c r="G10" s="265">
        <v>7642</v>
      </c>
      <c r="H10" s="267">
        <v>0</v>
      </c>
      <c r="I10" s="267">
        <v>0</v>
      </c>
      <c r="J10" s="267">
        <v>0</v>
      </c>
      <c r="K10" s="267">
        <v>0</v>
      </c>
      <c r="L10" s="267">
        <v>0</v>
      </c>
      <c r="M10" s="267">
        <v>0</v>
      </c>
      <c r="N10" s="265">
        <v>2715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s="14" customFormat="1" ht="52.5" customHeight="1">
      <c r="A11" s="148" t="s">
        <v>319</v>
      </c>
      <c r="B11" s="265">
        <v>8516</v>
      </c>
      <c r="C11" s="267">
        <v>0</v>
      </c>
      <c r="D11" s="267">
        <v>0</v>
      </c>
      <c r="E11" s="265">
        <v>350</v>
      </c>
      <c r="F11" s="265">
        <v>8330</v>
      </c>
      <c r="G11" s="265">
        <v>7386</v>
      </c>
      <c r="H11" s="267">
        <v>0</v>
      </c>
      <c r="I11" s="267">
        <v>0</v>
      </c>
      <c r="J11" s="267">
        <v>0</v>
      </c>
      <c r="K11" s="267">
        <v>0</v>
      </c>
      <c r="L11" s="267">
        <v>0</v>
      </c>
      <c r="M11" s="267">
        <v>0</v>
      </c>
      <c r="N11" s="265">
        <f>935+1100</f>
        <v>2035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s="14" customFormat="1" ht="52.5" customHeight="1">
      <c r="A12" s="148" t="s">
        <v>345</v>
      </c>
      <c r="B12" s="265">
        <f>8771</f>
        <v>8771</v>
      </c>
      <c r="C12" s="267">
        <v>0</v>
      </c>
      <c r="D12" s="267">
        <v>0</v>
      </c>
      <c r="E12" s="265">
        <f>104</f>
        <v>104</v>
      </c>
      <c r="F12" s="265">
        <f>8818+250</f>
        <v>9068</v>
      </c>
      <c r="G12" s="265">
        <f>9697</f>
        <v>9697</v>
      </c>
      <c r="H12" s="267">
        <v>0</v>
      </c>
      <c r="I12" s="267">
        <v>0</v>
      </c>
      <c r="J12" s="267">
        <v>0</v>
      </c>
      <c r="K12" s="267">
        <v>0</v>
      </c>
      <c r="L12" s="267">
        <v>0</v>
      </c>
      <c r="M12" s="267">
        <v>0</v>
      </c>
      <c r="N12" s="265">
        <f>2148</f>
        <v>2148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s="14" customFormat="1" ht="52.5" customHeight="1">
      <c r="A13" s="148" t="s">
        <v>376</v>
      </c>
      <c r="B13" s="265">
        <v>9535</v>
      </c>
      <c r="C13" s="267">
        <v>0</v>
      </c>
      <c r="D13" s="267">
        <v>0</v>
      </c>
      <c r="E13" s="265">
        <v>135</v>
      </c>
      <c r="F13" s="265">
        <f>8948+1068</f>
        <v>10016</v>
      </c>
      <c r="G13" s="265">
        <v>6282</v>
      </c>
      <c r="H13" s="267">
        <v>0</v>
      </c>
      <c r="I13" s="267">
        <v>0</v>
      </c>
      <c r="J13" s="267">
        <v>0</v>
      </c>
      <c r="K13" s="267">
        <v>0</v>
      </c>
      <c r="L13" s="267">
        <v>0</v>
      </c>
      <c r="M13" s="267">
        <v>0</v>
      </c>
      <c r="N13" s="265">
        <f>617+1832</f>
        <v>2449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s="14" customFormat="1" ht="52.5" customHeight="1">
      <c r="A14" s="148" t="s">
        <v>385</v>
      </c>
      <c r="B14" s="265">
        <f>4665</f>
        <v>4665</v>
      </c>
      <c r="C14" s="267">
        <v>0</v>
      </c>
      <c r="D14" s="267">
        <v>0</v>
      </c>
      <c r="E14" s="265">
        <v>228</v>
      </c>
      <c r="F14" s="265">
        <f>9908+682</f>
        <v>10590</v>
      </c>
      <c r="G14" s="265">
        <v>6538</v>
      </c>
      <c r="H14" s="267">
        <v>0</v>
      </c>
      <c r="I14" s="267">
        <v>0</v>
      </c>
      <c r="J14" s="267">
        <v>0</v>
      </c>
      <c r="K14" s="267">
        <v>0</v>
      </c>
      <c r="L14" s="267">
        <v>0</v>
      </c>
      <c r="M14" s="267">
        <v>0</v>
      </c>
      <c r="N14" s="265">
        <f>765+1549</f>
        <v>2314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s="14" customFormat="1" ht="52.5" customHeight="1">
      <c r="A15" s="148" t="s">
        <v>395</v>
      </c>
      <c r="B15" s="265">
        <v>6266</v>
      </c>
      <c r="C15" s="267">
        <v>0</v>
      </c>
      <c r="D15" s="267">
        <v>0</v>
      </c>
      <c r="E15" s="265">
        <v>178</v>
      </c>
      <c r="F15" s="265">
        <v>10030</v>
      </c>
      <c r="G15" s="265">
        <v>6441</v>
      </c>
      <c r="H15" s="267">
        <v>0</v>
      </c>
      <c r="I15" s="267">
        <v>0</v>
      </c>
      <c r="J15" s="267">
        <v>0</v>
      </c>
      <c r="K15" s="267">
        <v>0</v>
      </c>
      <c r="L15" s="267">
        <v>0</v>
      </c>
      <c r="M15" s="267">
        <v>0</v>
      </c>
      <c r="N15" s="265">
        <v>2080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s="14" customFormat="1" ht="52.5" customHeight="1">
      <c r="A16" s="148" t="s">
        <v>402</v>
      </c>
      <c r="B16" s="265">
        <f>4625+2016</f>
        <v>6641</v>
      </c>
      <c r="C16" s="267">
        <v>0</v>
      </c>
      <c r="D16" s="267">
        <v>0</v>
      </c>
      <c r="E16" s="265">
        <v>208</v>
      </c>
      <c r="F16" s="265">
        <f>11099</f>
        <v>11099</v>
      </c>
      <c r="G16" s="265">
        <v>6356</v>
      </c>
      <c r="H16" s="267">
        <v>0</v>
      </c>
      <c r="I16" s="267">
        <v>0</v>
      </c>
      <c r="J16" s="267">
        <v>0</v>
      </c>
      <c r="K16" s="267">
        <v>0</v>
      </c>
      <c r="L16" s="267">
        <v>0</v>
      </c>
      <c r="M16" s="267">
        <v>0</v>
      </c>
      <c r="N16" s="265">
        <f>732+1570</f>
        <v>2302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s="14" customFormat="1" ht="52.5" customHeight="1">
      <c r="A17" s="148" t="s">
        <v>412</v>
      </c>
      <c r="B17" s="265">
        <v>5524</v>
      </c>
      <c r="C17" s="267">
        <v>0</v>
      </c>
      <c r="D17" s="267">
        <v>0</v>
      </c>
      <c r="E17" s="265">
        <v>288</v>
      </c>
      <c r="F17" s="265">
        <v>12423</v>
      </c>
      <c r="G17" s="265">
        <v>7024</v>
      </c>
      <c r="H17" s="267">
        <v>0</v>
      </c>
      <c r="I17" s="267">
        <v>0</v>
      </c>
      <c r="J17" s="267">
        <v>0</v>
      </c>
      <c r="K17" s="267">
        <v>0</v>
      </c>
      <c r="L17" s="267">
        <v>0</v>
      </c>
      <c r="M17" s="267">
        <v>0</v>
      </c>
      <c r="N17" s="265">
        <v>2212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s="14" customFormat="1" ht="5.25" customHeight="1" thickBot="1">
      <c r="A18" s="255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13" s="24" customFormat="1" ht="16.5">
      <c r="A19" s="158" t="s">
        <v>30</v>
      </c>
      <c r="B19" s="6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66"/>
    </row>
    <row r="20" spans="1:14" ht="16.5">
      <c r="A20" s="8"/>
      <c r="B20" s="312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4"/>
      <c r="N20" s="315"/>
    </row>
    <row r="21" spans="1:14" ht="16.5">
      <c r="A21" s="8"/>
      <c r="B21" s="313"/>
      <c r="C21" s="312"/>
      <c r="D21" s="312"/>
      <c r="E21" s="312"/>
      <c r="F21" s="312"/>
      <c r="G21" s="312"/>
      <c r="H21" s="313"/>
      <c r="I21" s="313"/>
      <c r="J21" s="314"/>
      <c r="K21" s="313"/>
      <c r="L21" s="313"/>
      <c r="M21" s="313"/>
      <c r="N21" s="315"/>
    </row>
    <row r="22" spans="1:14" ht="16.5">
      <c r="A22" s="315"/>
      <c r="B22" s="313"/>
      <c r="C22" s="312"/>
      <c r="D22" s="312"/>
      <c r="E22" s="312"/>
      <c r="F22" s="312"/>
      <c r="G22" s="312"/>
      <c r="H22" s="313"/>
      <c r="I22" s="313"/>
      <c r="J22" s="314"/>
      <c r="K22" s="313"/>
      <c r="L22" s="313"/>
      <c r="M22" s="313"/>
      <c r="N22" s="315"/>
    </row>
    <row r="23" spans="1:14" ht="16.5">
      <c r="A23" s="316"/>
      <c r="B23" s="317"/>
      <c r="C23" s="317"/>
      <c r="D23" s="317"/>
      <c r="E23" s="317"/>
      <c r="F23" s="317"/>
      <c r="G23" s="317"/>
      <c r="H23" s="316"/>
      <c r="I23" s="317"/>
      <c r="J23" s="317"/>
      <c r="K23" s="317"/>
      <c r="L23" s="317"/>
      <c r="M23" s="317"/>
      <c r="N23" s="315"/>
    </row>
    <row r="24" spans="2:13" ht="16.5">
      <c r="B24" s="13"/>
      <c r="C24" s="13"/>
      <c r="D24" s="13"/>
      <c r="E24" s="13"/>
      <c r="F24" s="13"/>
      <c r="H24" s="12"/>
      <c r="I24" s="13"/>
      <c r="J24" s="13"/>
      <c r="K24" s="13"/>
      <c r="L24" s="13"/>
      <c r="M24" s="13"/>
    </row>
  </sheetData>
  <sheetProtection/>
  <mergeCells count="5">
    <mergeCell ref="A2:G2"/>
    <mergeCell ref="A3:G3"/>
    <mergeCell ref="H2:N2"/>
    <mergeCell ref="H3:N3"/>
    <mergeCell ref="M1:N1"/>
  </mergeCells>
  <printOptions horizontalCentered="1"/>
  <pageMargins left="0.7480314960629921" right="0.7480314960629921" top="0.984251968503937" bottom="0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2019-10-16T02:06:08Z</cp:lastPrinted>
  <dcterms:created xsi:type="dcterms:W3CDTF">2002-08-05T03:52:14Z</dcterms:created>
  <dcterms:modified xsi:type="dcterms:W3CDTF">2019-10-16T02:22:52Z</dcterms:modified>
  <cp:category/>
  <cp:version/>
  <cp:contentType/>
  <cp:contentStatus/>
</cp:coreProperties>
</file>